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eon\Google Drive\2013\November\"/>
    </mc:Choice>
  </mc:AlternateContent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52511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85" i="15" l="1"/>
  <c r="J185" i="15"/>
  <c r="O185" i="15" s="1"/>
  <c r="O186" i="15"/>
  <c r="K186" i="15"/>
  <c r="J186" i="15"/>
  <c r="L186" i="15" s="1"/>
  <c r="K189" i="15"/>
  <c r="J189" i="15"/>
  <c r="O189" i="15" s="1"/>
  <c r="O195" i="15"/>
  <c r="K195" i="15"/>
  <c r="J195" i="15"/>
  <c r="L195" i="15" s="1"/>
  <c r="O194" i="15"/>
  <c r="K194" i="15"/>
  <c r="J194" i="15"/>
  <c r="L194" i="15" s="1"/>
  <c r="O193" i="15"/>
  <c r="K193" i="15"/>
  <c r="J193" i="15"/>
  <c r="L193" i="15" s="1"/>
  <c r="O192" i="15"/>
  <c r="K192" i="15"/>
  <c r="J192" i="15"/>
  <c r="L192" i="15" s="1"/>
  <c r="K191" i="15"/>
  <c r="J191" i="15"/>
  <c r="O191" i="15" s="1"/>
  <c r="K190" i="15"/>
  <c r="J190" i="15"/>
  <c r="O190" i="15" s="1"/>
  <c r="Q115" i="14"/>
  <c r="L185" i="15" l="1"/>
  <c r="L189" i="15"/>
  <c r="L190" i="15"/>
  <c r="L191" i="15"/>
  <c r="K15" i="15" l="1"/>
  <c r="J15" i="15"/>
  <c r="K14" i="15"/>
  <c r="J14" i="15"/>
  <c r="L14" i="15" s="1"/>
  <c r="K13" i="15"/>
  <c r="J13" i="15"/>
  <c r="K59" i="12"/>
  <c r="G59" i="12"/>
  <c r="K57" i="12"/>
  <c r="L57" i="12" s="1"/>
  <c r="N57" i="12" s="1"/>
  <c r="G57" i="12"/>
  <c r="K42" i="12"/>
  <c r="G42" i="12"/>
  <c r="K36" i="12"/>
  <c r="G36" i="12"/>
  <c r="K26" i="12"/>
  <c r="G26" i="12"/>
  <c r="K22" i="12"/>
  <c r="G22" i="12"/>
  <c r="K21" i="12"/>
  <c r="G21" i="12"/>
  <c r="K18" i="12"/>
  <c r="G18" i="12"/>
  <c r="K22" i="8"/>
  <c r="G22" i="8"/>
  <c r="N109" i="14"/>
  <c r="Q109" i="14" s="1"/>
  <c r="K29" i="10"/>
  <c r="G29" i="10"/>
  <c r="K20" i="8"/>
  <c r="G20" i="8"/>
  <c r="K41" i="12"/>
  <c r="G41" i="12"/>
  <c r="K40" i="12"/>
  <c r="G40" i="12"/>
  <c r="K31" i="12"/>
  <c r="G31" i="12"/>
  <c r="K17" i="12"/>
  <c r="G17" i="12"/>
  <c r="K60" i="12"/>
  <c r="G60" i="12"/>
  <c r="K51" i="12"/>
  <c r="G51" i="12"/>
  <c r="J19" i="15"/>
  <c r="K19" i="15"/>
  <c r="L19" i="15"/>
  <c r="N130" i="13"/>
  <c r="Q130" i="13" s="1"/>
  <c r="N106" i="14"/>
  <c r="Q106" i="14" s="1"/>
  <c r="N105" i="14"/>
  <c r="Q105" i="14" s="1"/>
  <c r="K37" i="12"/>
  <c r="K25" i="12"/>
  <c r="G25" i="12"/>
  <c r="K24" i="12"/>
  <c r="G24" i="12"/>
  <c r="O19" i="15" l="1"/>
  <c r="L15" i="15"/>
  <c r="L13" i="15"/>
  <c r="O13" i="15"/>
  <c r="O15" i="15"/>
  <c r="O14" i="15"/>
  <c r="L59" i="12"/>
  <c r="N59" i="12" s="1"/>
  <c r="L42" i="12"/>
  <c r="N42" i="12" s="1"/>
  <c r="L26" i="12"/>
  <c r="N26" i="12" s="1"/>
  <c r="L21" i="12"/>
  <c r="N21" i="12" s="1"/>
  <c r="L36" i="12"/>
  <c r="N36" i="12" s="1"/>
  <c r="L22" i="12"/>
  <c r="N22" i="12" s="1"/>
  <c r="L18" i="12"/>
  <c r="N18" i="12" s="1"/>
  <c r="L25" i="12"/>
  <c r="N25" i="12" s="1"/>
  <c r="L24" i="12"/>
  <c r="N24" i="12" s="1"/>
  <c r="L22" i="8"/>
  <c r="N22" i="8" s="1"/>
  <c r="N29" i="10"/>
  <c r="L29" i="10"/>
  <c r="L20" i="8"/>
  <c r="N20" i="8" s="1"/>
  <c r="L41" i="12"/>
  <c r="N41" i="12" s="1"/>
  <c r="L31" i="12"/>
  <c r="N31" i="12" s="1"/>
  <c r="L60" i="12"/>
  <c r="N60" i="12" s="1"/>
  <c r="L51" i="12"/>
  <c r="N51" i="12" s="1"/>
  <c r="L40" i="12"/>
  <c r="N40" i="12" s="1"/>
  <c r="L17" i="12"/>
  <c r="N17" i="12" s="1"/>
  <c r="K39" i="12"/>
  <c r="G39" i="12"/>
  <c r="N188" i="15"/>
  <c r="K188" i="15" s="1"/>
  <c r="J188" i="15"/>
  <c r="J187" i="15"/>
  <c r="O187" i="15" s="1"/>
  <c r="K187" i="15"/>
  <c r="N104" i="14"/>
  <c r="Q104" i="14" s="1"/>
  <c r="N108" i="14"/>
  <c r="Q108" i="14" s="1"/>
  <c r="Q19" i="14" s="1"/>
  <c r="N6" i="14" s="1"/>
  <c r="N103" i="14"/>
  <c r="Q103" i="14" s="1"/>
  <c r="K330" i="12"/>
  <c r="G330" i="12"/>
  <c r="K48" i="12"/>
  <c r="G48" i="12"/>
  <c r="K325" i="12"/>
  <c r="G325" i="12"/>
  <c r="K324" i="12"/>
  <c r="G324" i="12"/>
  <c r="K26" i="10"/>
  <c r="G26" i="10"/>
  <c r="K174" i="10"/>
  <c r="G174" i="10"/>
  <c r="K25" i="10"/>
  <c r="G25" i="10"/>
  <c r="K19" i="8"/>
  <c r="G19" i="8"/>
  <c r="G284" i="8"/>
  <c r="K282" i="8"/>
  <c r="G282" i="8"/>
  <c r="G21" i="8"/>
  <c r="K14" i="8"/>
  <c r="G14" i="8"/>
  <c r="I34" i="15"/>
  <c r="N34" i="15"/>
  <c r="K34" i="15"/>
  <c r="J35" i="15"/>
  <c r="N35" i="15"/>
  <c r="K35" i="15" s="1"/>
  <c r="J36" i="15"/>
  <c r="K36" i="15"/>
  <c r="O36" i="15" s="1"/>
  <c r="J37" i="15"/>
  <c r="L37" i="15" s="1"/>
  <c r="K37" i="15"/>
  <c r="J38" i="15"/>
  <c r="N38" i="15"/>
  <c r="K38" i="15" s="1"/>
  <c r="J39" i="15"/>
  <c r="K39" i="15"/>
  <c r="J40" i="15"/>
  <c r="N40" i="15"/>
  <c r="K40" i="15" s="1"/>
  <c r="J41" i="15"/>
  <c r="O41" i="15" s="1"/>
  <c r="K41" i="15"/>
  <c r="J42" i="15"/>
  <c r="K42" i="15"/>
  <c r="J43" i="15"/>
  <c r="N43" i="15"/>
  <c r="K43" i="15"/>
  <c r="J44" i="15"/>
  <c r="O44" i="15" s="1"/>
  <c r="K44" i="15"/>
  <c r="J45" i="15"/>
  <c r="K45" i="15"/>
  <c r="J46" i="15"/>
  <c r="O46" i="15" s="1"/>
  <c r="K46" i="15"/>
  <c r="J47" i="15"/>
  <c r="K47" i="15"/>
  <c r="J48" i="15"/>
  <c r="K48" i="15"/>
  <c r="J49" i="15"/>
  <c r="K49" i="15"/>
  <c r="L49" i="15" s="1"/>
  <c r="J50" i="15"/>
  <c r="K50" i="15"/>
  <c r="J51" i="15"/>
  <c r="K51" i="15"/>
  <c r="O51" i="15" s="1"/>
  <c r="J52" i="15"/>
  <c r="N52" i="15"/>
  <c r="K52" i="15" s="1"/>
  <c r="J53" i="15"/>
  <c r="N53" i="15"/>
  <c r="K53" i="15" s="1"/>
  <c r="J54" i="15"/>
  <c r="N54" i="15"/>
  <c r="K54" i="15" s="1"/>
  <c r="J55" i="15"/>
  <c r="L55" i="15" s="1"/>
  <c r="K55" i="15"/>
  <c r="J56" i="15"/>
  <c r="N56" i="15"/>
  <c r="K56" i="15" s="1"/>
  <c r="J57" i="15"/>
  <c r="N57" i="15"/>
  <c r="K57" i="15" s="1"/>
  <c r="J58" i="15"/>
  <c r="K58" i="15"/>
  <c r="L58" i="15" s="1"/>
  <c r="I59" i="15"/>
  <c r="N59" i="15"/>
  <c r="K59" i="15" s="1"/>
  <c r="J60" i="15"/>
  <c r="K60" i="15"/>
  <c r="L60" i="15" s="1"/>
  <c r="J61" i="15"/>
  <c r="O61" i="15" s="1"/>
  <c r="K61" i="15"/>
  <c r="J62" i="15"/>
  <c r="K62" i="15"/>
  <c r="O62" i="15" s="1"/>
  <c r="J63" i="15"/>
  <c r="O63" i="15" s="1"/>
  <c r="N63" i="15"/>
  <c r="K63" i="15" s="1"/>
  <c r="J64" i="15"/>
  <c r="N64" i="15"/>
  <c r="K64" i="15"/>
  <c r="J65" i="15"/>
  <c r="K65" i="15"/>
  <c r="J66" i="15"/>
  <c r="K66" i="15"/>
  <c r="L66" i="15" s="1"/>
  <c r="J67" i="15"/>
  <c r="K67" i="15"/>
  <c r="O67" i="15"/>
  <c r="J68" i="15"/>
  <c r="O68" i="15" s="1"/>
  <c r="K68" i="15"/>
  <c r="J69" i="15"/>
  <c r="K69" i="15"/>
  <c r="J70" i="15"/>
  <c r="N70" i="15"/>
  <c r="K70" i="15" s="1"/>
  <c r="J71" i="15"/>
  <c r="K71" i="15"/>
  <c r="J72" i="15"/>
  <c r="N72" i="15"/>
  <c r="K72" i="15"/>
  <c r="J73" i="15"/>
  <c r="N73" i="15"/>
  <c r="K73" i="15" s="1"/>
  <c r="L73" i="15" s="1"/>
  <c r="J74" i="15"/>
  <c r="K74" i="15"/>
  <c r="O74" i="15"/>
  <c r="J75" i="15"/>
  <c r="N75" i="15"/>
  <c r="K75" i="15" s="1"/>
  <c r="J76" i="15"/>
  <c r="K76" i="15"/>
  <c r="O76" i="15" s="1"/>
  <c r="J77" i="15"/>
  <c r="L77" i="15" s="1"/>
  <c r="K77" i="15"/>
  <c r="J78" i="15"/>
  <c r="K78" i="15"/>
  <c r="J79" i="15"/>
  <c r="N79" i="15"/>
  <c r="K79" i="15"/>
  <c r="J80" i="15"/>
  <c r="K80" i="15"/>
  <c r="L80" i="15" s="1"/>
  <c r="J81" i="15"/>
  <c r="K81" i="15"/>
  <c r="O81" i="15" s="1"/>
  <c r="J82" i="15"/>
  <c r="N82" i="15"/>
  <c r="K82" i="15" s="1"/>
  <c r="L82" i="15" s="1"/>
  <c r="J83" i="15"/>
  <c r="K83" i="15"/>
  <c r="J84" i="15"/>
  <c r="N84" i="15"/>
  <c r="K84" i="15" s="1"/>
  <c r="J85" i="15"/>
  <c r="K85" i="15"/>
  <c r="J86" i="15"/>
  <c r="O86" i="15" s="1"/>
  <c r="K86" i="15"/>
  <c r="L86" i="15" s="1"/>
  <c r="J87" i="15"/>
  <c r="N87" i="15"/>
  <c r="K87" i="15" s="1"/>
  <c r="J88" i="15"/>
  <c r="L88" i="15" s="1"/>
  <c r="K88" i="15"/>
  <c r="J89" i="15"/>
  <c r="K89" i="15"/>
  <c r="J90" i="15"/>
  <c r="K90" i="15"/>
  <c r="J91" i="15"/>
  <c r="N91" i="15"/>
  <c r="K91" i="15" s="1"/>
  <c r="L91" i="15" s="1"/>
  <c r="J92" i="15"/>
  <c r="K92" i="15"/>
  <c r="J93" i="15"/>
  <c r="O93" i="15" s="1"/>
  <c r="K93" i="15"/>
  <c r="J94" i="15"/>
  <c r="N94" i="15"/>
  <c r="K94" i="15" s="1"/>
  <c r="J95" i="15"/>
  <c r="K95" i="15"/>
  <c r="J96" i="15"/>
  <c r="K96" i="15"/>
  <c r="L96" i="15" s="1"/>
  <c r="J97" i="15"/>
  <c r="K97" i="15"/>
  <c r="J98" i="15"/>
  <c r="O98" i="15" s="1"/>
  <c r="K98" i="15"/>
  <c r="J99" i="15"/>
  <c r="N99" i="15"/>
  <c r="K99" i="15" s="1"/>
  <c r="J100" i="15"/>
  <c r="O100" i="15" s="1"/>
  <c r="K100" i="15"/>
  <c r="J101" i="15"/>
  <c r="K101" i="15"/>
  <c r="L101" i="15" s="1"/>
  <c r="J102" i="15"/>
  <c r="L102" i="15" s="1"/>
  <c r="N102" i="15"/>
  <c r="K102" i="15" s="1"/>
  <c r="J103" i="15"/>
  <c r="N103" i="15"/>
  <c r="K103" i="15"/>
  <c r="O103" i="15" s="1"/>
  <c r="J104" i="15"/>
  <c r="K104" i="15"/>
  <c r="J105" i="15"/>
  <c r="O105" i="15" s="1"/>
  <c r="K105" i="15"/>
  <c r="L105" i="15" s="1"/>
  <c r="J106" i="15"/>
  <c r="K106" i="15"/>
  <c r="J107" i="15"/>
  <c r="N107" i="15"/>
  <c r="K107" i="15" s="1"/>
  <c r="J108" i="15"/>
  <c r="K108" i="15"/>
  <c r="L108" i="15" s="1"/>
  <c r="J109" i="15"/>
  <c r="O109" i="15" s="1"/>
  <c r="N109" i="15"/>
  <c r="K109" i="15" s="1"/>
  <c r="J110" i="15"/>
  <c r="N110" i="15"/>
  <c r="K110" i="15"/>
  <c r="O110" i="15" s="1"/>
  <c r="J111" i="15"/>
  <c r="K111" i="15"/>
  <c r="J112" i="15"/>
  <c r="N112" i="15"/>
  <c r="K112" i="15" s="1"/>
  <c r="J113" i="15"/>
  <c r="K113" i="15"/>
  <c r="J114" i="15"/>
  <c r="K114" i="15"/>
  <c r="L114" i="15" s="1"/>
  <c r="J115" i="15"/>
  <c r="K115" i="15"/>
  <c r="L115" i="15" s="1"/>
  <c r="J116" i="15"/>
  <c r="K116" i="15"/>
  <c r="J117" i="15"/>
  <c r="K117" i="15"/>
  <c r="O117" i="15" s="1"/>
  <c r="J118" i="15"/>
  <c r="K118" i="15"/>
  <c r="J119" i="15"/>
  <c r="K119" i="15"/>
  <c r="J120" i="15"/>
  <c r="O120" i="15" s="1"/>
  <c r="K120" i="15"/>
  <c r="L120" i="15" s="1"/>
  <c r="J121" i="15"/>
  <c r="K121" i="15"/>
  <c r="J122" i="15"/>
  <c r="O122" i="15" s="1"/>
  <c r="N122" i="15"/>
  <c r="K122" i="15"/>
  <c r="J123" i="15"/>
  <c r="K123" i="15"/>
  <c r="L123" i="15" s="1"/>
  <c r="J124" i="15"/>
  <c r="N124" i="15"/>
  <c r="K124" i="15" s="1"/>
  <c r="L124" i="15" s="1"/>
  <c r="J125" i="15"/>
  <c r="K125" i="15"/>
  <c r="O125" i="15" s="1"/>
  <c r="J126" i="15"/>
  <c r="K126" i="15"/>
  <c r="J127" i="15"/>
  <c r="O127" i="15" s="1"/>
  <c r="N127" i="15"/>
  <c r="K127" i="15" s="1"/>
  <c r="L127" i="15" s="1"/>
  <c r="J128" i="15"/>
  <c r="K128" i="15"/>
  <c r="J129" i="15"/>
  <c r="K129" i="15"/>
  <c r="J130" i="15"/>
  <c r="K130" i="15"/>
  <c r="L130" i="15" s="1"/>
  <c r="J131" i="15"/>
  <c r="K131" i="15"/>
  <c r="J132" i="15"/>
  <c r="O132" i="15" s="1"/>
  <c r="K132" i="15"/>
  <c r="L132" i="15" s="1"/>
  <c r="J133" i="15"/>
  <c r="K133" i="15"/>
  <c r="J134" i="15"/>
  <c r="O134" i="15" s="1"/>
  <c r="N134" i="15"/>
  <c r="K134" i="15" s="1"/>
  <c r="J135" i="15"/>
  <c r="N135" i="15"/>
  <c r="K135" i="15" s="1"/>
  <c r="J136" i="15"/>
  <c r="N136" i="15"/>
  <c r="K136" i="15" s="1"/>
  <c r="J137" i="15"/>
  <c r="K137" i="15"/>
  <c r="O137" i="15" s="1"/>
  <c r="J138" i="15"/>
  <c r="O138" i="15" s="1"/>
  <c r="K138" i="15"/>
  <c r="J139" i="15"/>
  <c r="O139" i="15" s="1"/>
  <c r="N139" i="15"/>
  <c r="K139" i="15"/>
  <c r="L139" i="15" s="1"/>
  <c r="J140" i="15"/>
  <c r="K140" i="15"/>
  <c r="J141" i="15"/>
  <c r="O141" i="15" s="1"/>
  <c r="N141" i="15"/>
  <c r="K141" i="15"/>
  <c r="J142" i="15"/>
  <c r="K142" i="15"/>
  <c r="J143" i="15"/>
  <c r="K143" i="15"/>
  <c r="J144" i="15"/>
  <c r="O144" i="15" s="1"/>
  <c r="K144" i="15"/>
  <c r="L144" i="15" s="1"/>
  <c r="J145" i="15"/>
  <c r="K145" i="15"/>
  <c r="J146" i="15"/>
  <c r="O146" i="15" s="1"/>
  <c r="K146" i="15"/>
  <c r="J147" i="15"/>
  <c r="N147" i="15"/>
  <c r="K147" i="15" s="1"/>
  <c r="J148" i="15"/>
  <c r="O148" i="15" s="1"/>
  <c r="N148" i="15"/>
  <c r="K148" i="15" s="1"/>
  <c r="J149" i="15"/>
  <c r="K149" i="15"/>
  <c r="O149" i="15" s="1"/>
  <c r="J150" i="15"/>
  <c r="O150" i="15" s="1"/>
  <c r="K150" i="15"/>
  <c r="J151" i="15"/>
  <c r="K151" i="15"/>
  <c r="O151" i="15"/>
  <c r="J152" i="15"/>
  <c r="K152" i="15"/>
  <c r="J153" i="15"/>
  <c r="N153" i="15"/>
  <c r="K153" i="15" s="1"/>
  <c r="L153" i="15" s="1"/>
  <c r="J154" i="15"/>
  <c r="N154" i="15"/>
  <c r="K154" i="15" s="1"/>
  <c r="J155" i="15"/>
  <c r="K155" i="15"/>
  <c r="J156" i="15"/>
  <c r="K156" i="15"/>
  <c r="O156" i="15"/>
  <c r="J157" i="15"/>
  <c r="N157" i="15"/>
  <c r="K157" i="15" s="1"/>
  <c r="J158" i="15"/>
  <c r="K158" i="15"/>
  <c r="O158" i="15"/>
  <c r="J159" i="15"/>
  <c r="K159" i="15"/>
  <c r="J160" i="15"/>
  <c r="K160" i="15"/>
  <c r="J161" i="15"/>
  <c r="K161" i="15"/>
  <c r="O161" i="15"/>
  <c r="J162" i="15"/>
  <c r="O162" i="15" s="1"/>
  <c r="K162" i="15"/>
  <c r="J163" i="15"/>
  <c r="K163" i="15"/>
  <c r="J164" i="15"/>
  <c r="N164" i="15"/>
  <c r="K164" i="15" s="1"/>
  <c r="J165" i="15"/>
  <c r="K165" i="15"/>
  <c r="J166" i="15"/>
  <c r="O166" i="15" s="1"/>
  <c r="K166" i="15"/>
  <c r="J167" i="15"/>
  <c r="N167" i="15"/>
  <c r="K167" i="15" s="1"/>
  <c r="J168" i="15"/>
  <c r="K168" i="15"/>
  <c r="O168" i="15" s="1"/>
  <c r="J169" i="15"/>
  <c r="K169" i="15"/>
  <c r="J170" i="15"/>
  <c r="K170" i="15"/>
  <c r="J171" i="15"/>
  <c r="N171" i="15"/>
  <c r="K171" i="15" s="1"/>
  <c r="L171" i="15" s="1"/>
  <c r="J172" i="15"/>
  <c r="K172" i="15"/>
  <c r="J173" i="15"/>
  <c r="K173" i="15"/>
  <c r="J174" i="15"/>
  <c r="L174" i="15" s="1"/>
  <c r="K174" i="15"/>
  <c r="J175" i="15"/>
  <c r="N175" i="15"/>
  <c r="K175" i="15" s="1"/>
  <c r="J176" i="15"/>
  <c r="N176" i="15"/>
  <c r="K176" i="15" s="1"/>
  <c r="J177" i="15"/>
  <c r="O177" i="15" s="1"/>
  <c r="N177" i="15"/>
  <c r="K177" i="15" s="1"/>
  <c r="J178" i="15"/>
  <c r="N178" i="15"/>
  <c r="K178" i="15" s="1"/>
  <c r="J179" i="15"/>
  <c r="O179" i="15" s="1"/>
  <c r="K179" i="15"/>
  <c r="J180" i="15"/>
  <c r="K180" i="15"/>
  <c r="O180" i="15"/>
  <c r="J181" i="15"/>
  <c r="K181" i="15"/>
  <c r="J182" i="15"/>
  <c r="K182" i="15"/>
  <c r="J183" i="15"/>
  <c r="K183" i="15"/>
  <c r="O183" i="15" s="1"/>
  <c r="J184" i="15"/>
  <c r="K184" i="15"/>
  <c r="N107" i="14"/>
  <c r="Q107" i="14" s="1"/>
  <c r="K329" i="12"/>
  <c r="G329" i="12"/>
  <c r="K327" i="12"/>
  <c r="G327" i="12"/>
  <c r="K47" i="12"/>
  <c r="G47" i="12"/>
  <c r="K44" i="12"/>
  <c r="G44" i="12"/>
  <c r="K326" i="12"/>
  <c r="G326" i="12"/>
  <c r="K14" i="12"/>
  <c r="G14" i="12"/>
  <c r="K27" i="10"/>
  <c r="G27" i="10"/>
  <c r="K17" i="10"/>
  <c r="G17" i="10"/>
  <c r="N17" i="10" s="1"/>
  <c r="K280" i="8"/>
  <c r="G280" i="8"/>
  <c r="K285" i="8"/>
  <c r="G285" i="8"/>
  <c r="K16" i="8"/>
  <c r="G16" i="8"/>
  <c r="G17" i="8"/>
  <c r="K28" i="10"/>
  <c r="G28" i="10"/>
  <c r="K23" i="10"/>
  <c r="G23" i="10"/>
  <c r="K171" i="10"/>
  <c r="G171" i="10"/>
  <c r="K176" i="10"/>
  <c r="G176" i="10"/>
  <c r="K21" i="10"/>
  <c r="G21" i="10"/>
  <c r="K20" i="10"/>
  <c r="G20" i="10"/>
  <c r="K18" i="10"/>
  <c r="G18" i="10"/>
  <c r="K55" i="12"/>
  <c r="G55" i="12"/>
  <c r="K53" i="12"/>
  <c r="G53" i="12"/>
  <c r="K52" i="12"/>
  <c r="G52" i="12"/>
  <c r="K328" i="12"/>
  <c r="G328" i="12"/>
  <c r="K46" i="12"/>
  <c r="G46" i="12"/>
  <c r="K321" i="12"/>
  <c r="G321" i="12"/>
  <c r="K45" i="12"/>
  <c r="G45" i="12"/>
  <c r="K322" i="12"/>
  <c r="G322" i="12"/>
  <c r="K43" i="12"/>
  <c r="G43" i="12"/>
  <c r="K320" i="12"/>
  <c r="G320" i="12"/>
  <c r="G37" i="12"/>
  <c r="L37" i="12" s="1"/>
  <c r="N37" i="12" s="1"/>
  <c r="K34" i="12"/>
  <c r="G34" i="12"/>
  <c r="K20" i="12"/>
  <c r="G20" i="12"/>
  <c r="K283" i="8"/>
  <c r="G283" i="8"/>
  <c r="L183" i="15"/>
  <c r="G15" i="8"/>
  <c r="N102" i="14"/>
  <c r="Q102" i="14" s="1"/>
  <c r="N101" i="14"/>
  <c r="Q101" i="14" s="1"/>
  <c r="N100" i="14"/>
  <c r="Q100" i="14" s="1"/>
  <c r="N99" i="14"/>
  <c r="Q99" i="14" s="1"/>
  <c r="N127" i="13"/>
  <c r="Q127" i="13" s="1"/>
  <c r="K16" i="10"/>
  <c r="L16" i="10" s="1"/>
  <c r="G16" i="10"/>
  <c r="K318" i="12"/>
  <c r="G318" i="12"/>
  <c r="K319" i="12"/>
  <c r="G319" i="12"/>
  <c r="K317" i="12"/>
  <c r="G317" i="12"/>
  <c r="N93" i="14"/>
  <c r="Q93" i="14" s="1"/>
  <c r="N92" i="14"/>
  <c r="Q92" i="14" s="1"/>
  <c r="N94" i="14"/>
  <c r="Q94" i="14" s="1"/>
  <c r="N96" i="14"/>
  <c r="Q96" i="14" s="1"/>
  <c r="N95" i="14"/>
  <c r="Q95" i="14" s="1"/>
  <c r="N98" i="14"/>
  <c r="Q98" i="14" s="1"/>
  <c r="L180" i="15"/>
  <c r="N129" i="13"/>
  <c r="Q129" i="13" s="1"/>
  <c r="N128" i="13"/>
  <c r="Q128" i="13" s="1"/>
  <c r="K172" i="10"/>
  <c r="G172" i="10"/>
  <c r="N89" i="14"/>
  <c r="Q89" i="14" s="1"/>
  <c r="N91" i="14"/>
  <c r="Q91" i="14"/>
  <c r="N97" i="14"/>
  <c r="Q97" i="14" s="1"/>
  <c r="K50" i="12"/>
  <c r="K278" i="8"/>
  <c r="G278" i="8"/>
  <c r="K316" i="12"/>
  <c r="G316" i="12"/>
  <c r="K58" i="12"/>
  <c r="G58" i="12"/>
  <c r="K54" i="12"/>
  <c r="G54" i="12"/>
  <c r="K28" i="12"/>
  <c r="G28" i="12"/>
  <c r="K332" i="12"/>
  <c r="G332" i="12"/>
  <c r="K23" i="12"/>
  <c r="G23" i="12"/>
  <c r="K13" i="12"/>
  <c r="G13" i="12"/>
  <c r="K24" i="10"/>
  <c r="G24" i="10"/>
  <c r="K173" i="10"/>
  <c r="G173" i="10"/>
  <c r="N90" i="14"/>
  <c r="Q90" i="14" s="1"/>
  <c r="L181" i="15"/>
  <c r="K19" i="10"/>
  <c r="G19" i="10"/>
  <c r="K167" i="10"/>
  <c r="G167" i="10"/>
  <c r="G50" i="12"/>
  <c r="K312" i="12"/>
  <c r="G312" i="12"/>
  <c r="K315" i="12"/>
  <c r="G315" i="12"/>
  <c r="K38" i="12"/>
  <c r="G38" i="12"/>
  <c r="K30" i="12"/>
  <c r="G30" i="12"/>
  <c r="K314" i="12"/>
  <c r="G314" i="12"/>
  <c r="K279" i="8"/>
  <c r="G279" i="8"/>
  <c r="K284" i="8"/>
  <c r="K18" i="8"/>
  <c r="G18" i="8"/>
  <c r="K15" i="8"/>
  <c r="L15" i="8" s="1"/>
  <c r="N15" i="8" s="1"/>
  <c r="G281" i="8"/>
  <c r="N87" i="14"/>
  <c r="Q87" i="14" s="1"/>
  <c r="K166" i="10"/>
  <c r="G166" i="10"/>
  <c r="K22" i="10"/>
  <c r="G22" i="10"/>
  <c r="K33" i="12"/>
  <c r="G33" i="12"/>
  <c r="K35" i="12"/>
  <c r="G35" i="12"/>
  <c r="K29" i="12"/>
  <c r="G29" i="12"/>
  <c r="K21" i="8"/>
  <c r="L168" i="15"/>
  <c r="N88" i="14"/>
  <c r="Q88" i="14" s="1"/>
  <c r="N84" i="14"/>
  <c r="Q84" i="14"/>
  <c r="N86" i="14"/>
  <c r="Q86" i="14" s="1"/>
  <c r="N83" i="14"/>
  <c r="Q83" i="14" s="1"/>
  <c r="N85" i="14"/>
  <c r="Q85" i="14" s="1"/>
  <c r="N126" i="13"/>
  <c r="Q126" i="13" s="1"/>
  <c r="N124" i="13"/>
  <c r="Q124" i="13"/>
  <c r="N125" i="13"/>
  <c r="Q125" i="13" s="1"/>
  <c r="N123" i="13"/>
  <c r="Q123" i="13" s="1"/>
  <c r="G165" i="10"/>
  <c r="K165" i="10"/>
  <c r="G331" i="12"/>
  <c r="K331" i="12"/>
  <c r="K309" i="12"/>
  <c r="G309" i="12"/>
  <c r="K306" i="12"/>
  <c r="G306" i="12"/>
  <c r="K304" i="12"/>
  <c r="G304" i="12"/>
  <c r="K277" i="8"/>
  <c r="G277" i="8"/>
  <c r="P42" i="13"/>
  <c r="K170" i="10"/>
  <c r="G170" i="10"/>
  <c r="K32" i="12"/>
  <c r="G32" i="12"/>
  <c r="K310" i="12"/>
  <c r="G310" i="12"/>
  <c r="E311" i="12"/>
  <c r="K311" i="12" s="1"/>
  <c r="F311" i="12"/>
  <c r="K17" i="8"/>
  <c r="K281" i="8"/>
  <c r="N81" i="14"/>
  <c r="Q81" i="14" s="1"/>
  <c r="N82" i="14"/>
  <c r="Q82" i="14" s="1"/>
  <c r="N80" i="14"/>
  <c r="Q80" i="14" s="1"/>
  <c r="K11" i="15"/>
  <c r="J11" i="15"/>
  <c r="L11" i="15" s="1"/>
  <c r="K10" i="15"/>
  <c r="J10" i="15"/>
  <c r="L10" i="15" s="1"/>
  <c r="L67" i="15"/>
  <c r="L71" i="15"/>
  <c r="L83" i="15"/>
  <c r="L161" i="15"/>
  <c r="L64" i="15"/>
  <c r="L81" i="15"/>
  <c r="L46" i="15"/>
  <c r="L143" i="15"/>
  <c r="L36" i="15"/>
  <c r="L93" i="15"/>
  <c r="L69" i="15"/>
  <c r="L152" i="15"/>
  <c r="L160" i="15"/>
  <c r="L117" i="15"/>
  <c r="L76" i="15"/>
  <c r="L155" i="15"/>
  <c r="L158" i="15"/>
  <c r="L74" i="15"/>
  <c r="L131" i="15"/>
  <c r="L62" i="15"/>
  <c r="L156" i="15"/>
  <c r="L95" i="15"/>
  <c r="L98" i="15"/>
  <c r="L151" i="15"/>
  <c r="L41" i="15"/>
  <c r="L122" i="15"/>
  <c r="L126" i="15"/>
  <c r="L140" i="15"/>
  <c r="Q65" i="14"/>
  <c r="N79" i="14"/>
  <c r="Q79" i="14" s="1"/>
  <c r="N78" i="14"/>
  <c r="Q78" i="14" s="1"/>
  <c r="N122" i="13"/>
  <c r="Q122" i="13" s="1"/>
  <c r="N74" i="14"/>
  <c r="Q74" i="14" s="1"/>
  <c r="N77" i="14"/>
  <c r="Q77" i="14" s="1"/>
  <c r="N70" i="14"/>
  <c r="Q70" i="14" s="1"/>
  <c r="N73" i="14"/>
  <c r="Q73" i="14" s="1"/>
  <c r="N72" i="14"/>
  <c r="Q72" i="14" s="1"/>
  <c r="N71" i="14"/>
  <c r="Q71" i="14" s="1"/>
  <c r="N76" i="14"/>
  <c r="Q76" i="14" s="1"/>
  <c r="N121" i="13"/>
  <c r="Q121" i="13" s="1"/>
  <c r="N66" i="14"/>
  <c r="Q66" i="14" s="1"/>
  <c r="N67" i="14"/>
  <c r="Q67" i="14" s="1"/>
  <c r="N68" i="14"/>
  <c r="Q68" i="14" s="1"/>
  <c r="N69" i="14"/>
  <c r="Q69" i="14"/>
  <c r="N75" i="14"/>
  <c r="Q75" i="14" s="1"/>
  <c r="N64" i="14"/>
  <c r="Q64" i="14" s="1"/>
  <c r="K175" i="10"/>
  <c r="G175" i="10"/>
  <c r="L175" i="10" s="1"/>
  <c r="G164" i="10"/>
  <c r="G163" i="10"/>
  <c r="N163" i="10" s="1"/>
  <c r="G162" i="10"/>
  <c r="G161" i="10"/>
  <c r="G160" i="10"/>
  <c r="K164" i="10"/>
  <c r="K163" i="10"/>
  <c r="K162" i="10"/>
  <c r="K161" i="10"/>
  <c r="K160" i="10"/>
  <c r="N160" i="10" s="1"/>
  <c r="G274" i="8"/>
  <c r="G273" i="8"/>
  <c r="G272" i="8"/>
  <c r="G271" i="8"/>
  <c r="G270" i="8"/>
  <c r="G269" i="8"/>
  <c r="L269" i="8" s="1"/>
  <c r="N269" i="8" s="1"/>
  <c r="K274" i="8"/>
  <c r="K271" i="8"/>
  <c r="K273" i="8"/>
  <c r="K272" i="8"/>
  <c r="K270" i="8"/>
  <c r="K269" i="8"/>
  <c r="G276" i="8"/>
  <c r="K276" i="8"/>
  <c r="K275" i="8"/>
  <c r="G275" i="8"/>
  <c r="K299" i="12"/>
  <c r="K308" i="12"/>
  <c r="K300" i="12"/>
  <c r="K49" i="12"/>
  <c r="K301" i="12"/>
  <c r="K298" i="12"/>
  <c r="K323" i="12"/>
  <c r="K305" i="12"/>
  <c r="K302" i="12"/>
  <c r="K19" i="12"/>
  <c r="K313" i="12"/>
  <c r="K303" i="12"/>
  <c r="K56" i="12"/>
  <c r="K27" i="12"/>
  <c r="K307" i="12"/>
  <c r="K16" i="12"/>
  <c r="G299" i="12"/>
  <c r="G308" i="12"/>
  <c r="G300" i="12"/>
  <c r="G49" i="12"/>
  <c r="G301" i="12"/>
  <c r="G298" i="12"/>
  <c r="G323" i="12"/>
  <c r="L323" i="12" s="1"/>
  <c r="N323" i="12" s="1"/>
  <c r="G305" i="12"/>
  <c r="G302" i="12"/>
  <c r="G19" i="12"/>
  <c r="G313" i="12"/>
  <c r="G303" i="12"/>
  <c r="L303" i="12" s="1"/>
  <c r="N303" i="12" s="1"/>
  <c r="G56" i="12"/>
  <c r="G27" i="12"/>
  <c r="G307" i="12"/>
  <c r="L307" i="12" s="1"/>
  <c r="N307" i="12" s="1"/>
  <c r="G16" i="12"/>
  <c r="K295" i="12"/>
  <c r="K294" i="12"/>
  <c r="K289" i="12"/>
  <c r="K288" i="12"/>
  <c r="K297" i="12"/>
  <c r="K296" i="12"/>
  <c r="K293" i="12"/>
  <c r="K292" i="12"/>
  <c r="K291" i="12"/>
  <c r="K290" i="12"/>
  <c r="K287" i="12"/>
  <c r="K286" i="12"/>
  <c r="K285" i="12"/>
  <c r="K284" i="12"/>
  <c r="K283" i="12"/>
  <c r="K282" i="12"/>
  <c r="K281" i="12"/>
  <c r="K280" i="12"/>
  <c r="K279" i="12"/>
  <c r="K27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L280" i="12" s="1"/>
  <c r="N280" i="12" s="1"/>
  <c r="G279" i="12"/>
  <c r="G278" i="12"/>
  <c r="N115" i="13"/>
  <c r="Q115" i="13" s="1"/>
  <c r="N63" i="14"/>
  <c r="Q63" i="14" s="1"/>
  <c r="N60" i="14"/>
  <c r="Q60" i="14" s="1"/>
  <c r="N117" i="13"/>
  <c r="Q117" i="13" s="1"/>
  <c r="N118" i="13"/>
  <c r="Q118" i="13" s="1"/>
  <c r="N120" i="13"/>
  <c r="Q120" i="13" s="1"/>
  <c r="K159" i="10"/>
  <c r="G159" i="10"/>
  <c r="K169" i="10"/>
  <c r="N169" i="10" s="1"/>
  <c r="G169" i="10"/>
  <c r="K158" i="10"/>
  <c r="G158" i="10"/>
  <c r="N61" i="14"/>
  <c r="Q61" i="14" s="1"/>
  <c r="N62" i="14"/>
  <c r="Q62" i="14" s="1"/>
  <c r="N59" i="14"/>
  <c r="Q59" i="14" s="1"/>
  <c r="K251" i="12"/>
  <c r="G251" i="12"/>
  <c r="K238" i="12"/>
  <c r="G238" i="12"/>
  <c r="N113" i="13"/>
  <c r="Q113" i="13" s="1"/>
  <c r="K237" i="12"/>
  <c r="G237" i="12"/>
  <c r="K275" i="12"/>
  <c r="G275" i="12"/>
  <c r="K232" i="12"/>
  <c r="K268" i="8"/>
  <c r="G268" i="8"/>
  <c r="K260" i="8"/>
  <c r="G260" i="8"/>
  <c r="L260" i="8" s="1"/>
  <c r="N260" i="8" s="1"/>
  <c r="K252" i="12"/>
  <c r="G252" i="12"/>
  <c r="K236" i="12"/>
  <c r="G236" i="12"/>
  <c r="K239" i="12"/>
  <c r="G239" i="12"/>
  <c r="K277" i="12"/>
  <c r="G277" i="12"/>
  <c r="K220" i="12"/>
  <c r="G220" i="12"/>
  <c r="K235" i="12"/>
  <c r="G235" i="12"/>
  <c r="K222" i="12"/>
  <c r="G222" i="12"/>
  <c r="K227" i="12"/>
  <c r="G227" i="12"/>
  <c r="N57" i="14"/>
  <c r="Q57" i="14" s="1"/>
  <c r="N58" i="14"/>
  <c r="Q58" i="14" s="1"/>
  <c r="N55" i="14"/>
  <c r="Q55" i="14"/>
  <c r="K276" i="12"/>
  <c r="G276" i="12"/>
  <c r="K228" i="12"/>
  <c r="G228" i="12"/>
  <c r="N54" i="14"/>
  <c r="Q54" i="14" s="1"/>
  <c r="K247" i="12"/>
  <c r="G247" i="12"/>
  <c r="K218" i="12"/>
  <c r="G218" i="12"/>
  <c r="K131" i="10"/>
  <c r="G131" i="10"/>
  <c r="N116" i="13"/>
  <c r="Q116" i="13" s="1"/>
  <c r="K263" i="8"/>
  <c r="G263" i="8"/>
  <c r="K140" i="10"/>
  <c r="G140" i="10"/>
  <c r="K253" i="12"/>
  <c r="G253" i="12"/>
  <c r="K223" i="12"/>
  <c r="G223" i="12"/>
  <c r="K274" i="12"/>
  <c r="G274" i="12"/>
  <c r="N56" i="14"/>
  <c r="Q56" i="14" s="1"/>
  <c r="K273" i="12"/>
  <c r="G273" i="12"/>
  <c r="K224" i="12"/>
  <c r="G224" i="12"/>
  <c r="K272" i="12"/>
  <c r="G272" i="12"/>
  <c r="K234" i="12"/>
  <c r="G234" i="12"/>
  <c r="K219" i="12"/>
  <c r="G219" i="12"/>
  <c r="K129" i="10"/>
  <c r="G129" i="10"/>
  <c r="K262" i="8"/>
  <c r="G262" i="8"/>
  <c r="K242" i="12"/>
  <c r="G242" i="12"/>
  <c r="K271" i="12"/>
  <c r="G271" i="12"/>
  <c r="K230" i="12"/>
  <c r="G230" i="12"/>
  <c r="K269" i="12"/>
  <c r="G269" i="12"/>
  <c r="K217" i="12"/>
  <c r="G217" i="12"/>
  <c r="K270" i="12"/>
  <c r="L270" i="12" s="1"/>
  <c r="N270" i="12" s="1"/>
  <c r="G270" i="12"/>
  <c r="K216" i="12"/>
  <c r="G216" i="12"/>
  <c r="K268" i="12"/>
  <c r="G268" i="12"/>
  <c r="K243" i="12"/>
  <c r="G243" i="12"/>
  <c r="K229" i="12"/>
  <c r="G229" i="12"/>
  <c r="K127" i="10"/>
  <c r="G127" i="10"/>
  <c r="K142" i="10"/>
  <c r="N142" i="10" s="1"/>
  <c r="G142" i="10"/>
  <c r="K157" i="10"/>
  <c r="G157" i="10"/>
  <c r="K126" i="10"/>
  <c r="L126" i="10" s="1"/>
  <c r="G126" i="10"/>
  <c r="K215" i="12"/>
  <c r="G215" i="12"/>
  <c r="K128" i="10"/>
  <c r="G128" i="10"/>
  <c r="L128" i="10" s="1"/>
  <c r="K156" i="10"/>
  <c r="G156" i="10"/>
  <c r="N114" i="13"/>
  <c r="Q114" i="13" s="1"/>
  <c r="N48" i="14"/>
  <c r="Q48" i="14" s="1"/>
  <c r="N52" i="14"/>
  <c r="Q52" i="14" s="1"/>
  <c r="N49" i="14"/>
  <c r="Q49" i="14"/>
  <c r="K249" i="12"/>
  <c r="G249" i="12"/>
  <c r="K245" i="12"/>
  <c r="G245" i="12"/>
  <c r="K267" i="12"/>
  <c r="G267" i="12"/>
  <c r="K207" i="12"/>
  <c r="G207" i="12"/>
  <c r="K210" i="12"/>
  <c r="G210" i="12"/>
  <c r="K212" i="12"/>
  <c r="G212" i="12"/>
  <c r="K139" i="10"/>
  <c r="G139" i="10"/>
  <c r="K122" i="10"/>
  <c r="G122" i="10"/>
  <c r="K155" i="10"/>
  <c r="G155" i="10"/>
  <c r="N51" i="14"/>
  <c r="Q51" i="14" s="1"/>
  <c r="K253" i="8"/>
  <c r="G253" i="8"/>
  <c r="K266" i="12"/>
  <c r="G266" i="12"/>
  <c r="K208" i="12"/>
  <c r="G208" i="12"/>
  <c r="N47" i="14"/>
  <c r="Q47" i="14" s="1"/>
  <c r="N46" i="14"/>
  <c r="Q46" i="14" s="1"/>
  <c r="N45" i="14"/>
  <c r="Q45" i="14" s="1"/>
  <c r="G233" i="12"/>
  <c r="G232" i="12"/>
  <c r="K248" i="12"/>
  <c r="G248" i="12"/>
  <c r="K264" i="12"/>
  <c r="G264" i="12"/>
  <c r="K265" i="12"/>
  <c r="G265" i="12"/>
  <c r="K233" i="12"/>
  <c r="K130" i="10"/>
  <c r="N130" i="10" s="1"/>
  <c r="G130" i="10"/>
  <c r="K255" i="8"/>
  <c r="G255" i="8"/>
  <c r="K251" i="8"/>
  <c r="G251" i="8"/>
  <c r="N110" i="13"/>
  <c r="Q110" i="13"/>
  <c r="K201" i="12"/>
  <c r="G201" i="12"/>
  <c r="K263" i="12"/>
  <c r="G263" i="12"/>
  <c r="K262" i="12"/>
  <c r="G262" i="12"/>
  <c r="K261" i="12"/>
  <c r="G261" i="12"/>
  <c r="K203" i="12"/>
  <c r="G203" i="12"/>
  <c r="K141" i="10"/>
  <c r="G141" i="10"/>
  <c r="K138" i="10"/>
  <c r="N138" i="10" s="1"/>
  <c r="G138" i="10"/>
  <c r="K143" i="10"/>
  <c r="G143" i="10"/>
  <c r="K259" i="8"/>
  <c r="G259" i="8"/>
  <c r="N50" i="14"/>
  <c r="Q50" i="14" s="1"/>
  <c r="N40" i="14"/>
  <c r="Q40" i="14" s="1"/>
  <c r="K204" i="12"/>
  <c r="K255" i="12"/>
  <c r="K246" i="12"/>
  <c r="K209" i="12"/>
  <c r="K244" i="12"/>
  <c r="K214" i="12"/>
  <c r="K199" i="12"/>
  <c r="K240" i="12"/>
  <c r="K241" i="12"/>
  <c r="K254" i="12"/>
  <c r="K226" i="12"/>
  <c r="K205" i="12"/>
  <c r="K250" i="12"/>
  <c r="K256" i="12"/>
  <c r="K200" i="12"/>
  <c r="K221" i="12"/>
  <c r="K257" i="12"/>
  <c r="K231" i="12"/>
  <c r="K213" i="12"/>
  <c r="K258" i="12"/>
  <c r="K206" i="12"/>
  <c r="K225" i="12"/>
  <c r="K15" i="12"/>
  <c r="K259" i="12"/>
  <c r="K260" i="12"/>
  <c r="K211" i="12"/>
  <c r="K202" i="12"/>
  <c r="G204" i="12"/>
  <c r="G255" i="12"/>
  <c r="G246" i="12"/>
  <c r="G209" i="12"/>
  <c r="G244" i="12"/>
  <c r="G214" i="12"/>
  <c r="G240" i="12"/>
  <c r="G241" i="12"/>
  <c r="G254" i="12"/>
  <c r="G226" i="12"/>
  <c r="G205" i="12"/>
  <c r="G250" i="12"/>
  <c r="G256" i="12"/>
  <c r="G200" i="12"/>
  <c r="G221" i="12"/>
  <c r="G257" i="12"/>
  <c r="G231" i="12"/>
  <c r="G213" i="12"/>
  <c r="G258" i="12"/>
  <c r="G206" i="12"/>
  <c r="G225" i="12"/>
  <c r="G15" i="12"/>
  <c r="G259" i="12"/>
  <c r="G260" i="12"/>
  <c r="G211" i="12"/>
  <c r="G202" i="12"/>
  <c r="N53" i="14"/>
  <c r="Q53" i="14" s="1"/>
  <c r="N43" i="14"/>
  <c r="Q43" i="14" s="1"/>
  <c r="K121" i="10"/>
  <c r="G121" i="10"/>
  <c r="K11" i="8"/>
  <c r="K254" i="8"/>
  <c r="G254" i="8"/>
  <c r="N42" i="14"/>
  <c r="Q42" i="14" s="1"/>
  <c r="N41" i="14"/>
  <c r="Q41" i="14" s="1"/>
  <c r="K250" i="8"/>
  <c r="G250" i="8"/>
  <c r="N119" i="13"/>
  <c r="Q119" i="13" s="1"/>
  <c r="N111" i="13"/>
  <c r="Q111" i="13" s="1"/>
  <c r="N112" i="13"/>
  <c r="Q112" i="13" s="1"/>
  <c r="M44" i="13"/>
  <c r="N44" i="13" s="1"/>
  <c r="Q44" i="13" s="1"/>
  <c r="M45" i="13"/>
  <c r="K45" i="13"/>
  <c r="M46" i="13"/>
  <c r="N46" i="13" s="1"/>
  <c r="Q46" i="13" s="1"/>
  <c r="M51" i="13"/>
  <c r="N51" i="13" s="1"/>
  <c r="Q51" i="13" s="1"/>
  <c r="N29" i="13"/>
  <c r="Q29" i="13" s="1"/>
  <c r="N30" i="13"/>
  <c r="Q30" i="13"/>
  <c r="N31" i="13"/>
  <c r="Q31" i="13" s="1"/>
  <c r="N32" i="13"/>
  <c r="Q32" i="13" s="1"/>
  <c r="N33" i="13"/>
  <c r="Q33" i="13" s="1"/>
  <c r="N34" i="13"/>
  <c r="Q34" i="13" s="1"/>
  <c r="N35" i="13"/>
  <c r="Q35" i="13" s="1"/>
  <c r="N36" i="13"/>
  <c r="Q36" i="13" s="1"/>
  <c r="N37" i="13"/>
  <c r="Q37" i="13" s="1"/>
  <c r="K38" i="13"/>
  <c r="N38" i="13" s="1"/>
  <c r="Q38" i="13" s="1"/>
  <c r="N39" i="13"/>
  <c r="Q39" i="13" s="1"/>
  <c r="N40" i="13"/>
  <c r="Q40" i="13" s="1"/>
  <c r="N41" i="13"/>
  <c r="Q41" i="13" s="1"/>
  <c r="N42" i="13"/>
  <c r="Q42" i="13" s="1"/>
  <c r="N43" i="13"/>
  <c r="Q43" i="13" s="1"/>
  <c r="N47" i="13"/>
  <c r="Q47" i="13" s="1"/>
  <c r="K48" i="13"/>
  <c r="N48" i="13" s="1"/>
  <c r="Q48" i="13" s="1"/>
  <c r="N49" i="13"/>
  <c r="Q49" i="13" s="1"/>
  <c r="N50" i="13"/>
  <c r="Q50" i="13" s="1"/>
  <c r="N52" i="13"/>
  <c r="Q52" i="13" s="1"/>
  <c r="N53" i="13"/>
  <c r="Q53" i="13"/>
  <c r="N54" i="13"/>
  <c r="Q54" i="13" s="1"/>
  <c r="N55" i="13"/>
  <c r="Q55" i="13" s="1"/>
  <c r="N56" i="13"/>
  <c r="Q56" i="13" s="1"/>
  <c r="N57" i="13"/>
  <c r="Q57" i="13" s="1"/>
  <c r="K58" i="13"/>
  <c r="N58" i="13" s="1"/>
  <c r="Q58" i="13" s="1"/>
  <c r="N59" i="13"/>
  <c r="Q59" i="13"/>
  <c r="N60" i="13"/>
  <c r="Q60" i="13" s="1"/>
  <c r="N61" i="13"/>
  <c r="Q61" i="13" s="1"/>
  <c r="N62" i="13"/>
  <c r="Q62" i="13" s="1"/>
  <c r="N63" i="13"/>
  <c r="Q63" i="13" s="1"/>
  <c r="N64" i="13"/>
  <c r="Q64" i="13" s="1"/>
  <c r="N65" i="13"/>
  <c r="Q65" i="13" s="1"/>
  <c r="N66" i="13"/>
  <c r="Q66" i="13" s="1"/>
  <c r="K67" i="13"/>
  <c r="N67" i="13" s="1"/>
  <c r="Q67" i="13" s="1"/>
  <c r="N68" i="13"/>
  <c r="Q68" i="13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/>
  <c r="N81" i="13"/>
  <c r="Q81" i="13" s="1"/>
  <c r="N82" i="13"/>
  <c r="Q82" i="13" s="1"/>
  <c r="N83" i="13"/>
  <c r="Q83" i="13" s="1"/>
  <c r="N84" i="13"/>
  <c r="Q84" i="13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/>
  <c r="N93" i="13"/>
  <c r="Q93" i="13" s="1"/>
  <c r="N94" i="13"/>
  <c r="Q94" i="13" s="1"/>
  <c r="N95" i="13"/>
  <c r="Q95" i="13" s="1"/>
  <c r="N96" i="13"/>
  <c r="Q96" i="13"/>
  <c r="N97" i="13"/>
  <c r="Q97" i="13" s="1"/>
  <c r="N98" i="13"/>
  <c r="Q98" i="13" s="1"/>
  <c r="N99" i="13"/>
  <c r="Q99" i="13" s="1"/>
  <c r="N100" i="13"/>
  <c r="Q100" i="13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N108" i="13"/>
  <c r="Q108" i="13"/>
  <c r="N109" i="13"/>
  <c r="Q109" i="13" s="1"/>
  <c r="K192" i="12"/>
  <c r="N192" i="12" s="1"/>
  <c r="G192" i="12"/>
  <c r="K191" i="12"/>
  <c r="G191" i="12"/>
  <c r="K118" i="10"/>
  <c r="G118" i="10"/>
  <c r="K146" i="10"/>
  <c r="G146" i="10"/>
  <c r="K115" i="10"/>
  <c r="G115" i="10"/>
  <c r="K267" i="8"/>
  <c r="G267" i="8"/>
  <c r="K257" i="8"/>
  <c r="G257" i="8"/>
  <c r="G144" i="10"/>
  <c r="G134" i="10"/>
  <c r="G117" i="10"/>
  <c r="G133" i="10"/>
  <c r="G147" i="10"/>
  <c r="G132" i="10"/>
  <c r="G148" i="10"/>
  <c r="G123" i="10"/>
  <c r="G116" i="10"/>
  <c r="G168" i="10"/>
  <c r="G124" i="10"/>
  <c r="G149" i="10"/>
  <c r="G150" i="10"/>
  <c r="G120" i="10"/>
  <c r="G125" i="10"/>
  <c r="G151" i="10"/>
  <c r="G135" i="10"/>
  <c r="G145" i="10"/>
  <c r="G152" i="10"/>
  <c r="G136" i="10"/>
  <c r="G119" i="10"/>
  <c r="G153" i="10"/>
  <c r="G154" i="10"/>
  <c r="G137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L69" i="10" s="1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L109" i="10" s="1"/>
  <c r="G110" i="10"/>
  <c r="G111" i="10"/>
  <c r="G112" i="10"/>
  <c r="G113" i="10"/>
  <c r="G114" i="10"/>
  <c r="K196" i="12"/>
  <c r="K197" i="12"/>
  <c r="K198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3" i="12"/>
  <c r="K194" i="12"/>
  <c r="K195" i="12"/>
  <c r="G198" i="12"/>
  <c r="G199" i="12"/>
  <c r="G197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3" i="12"/>
  <c r="G194" i="12"/>
  <c r="G195" i="12"/>
  <c r="K264" i="8"/>
  <c r="K256" i="8"/>
  <c r="K265" i="8"/>
  <c r="K266" i="8"/>
  <c r="K252" i="8"/>
  <c r="L252" i="8" s="1"/>
  <c r="N252" i="8" s="1"/>
  <c r="K258" i="8"/>
  <c r="K249" i="8"/>
  <c r="K247" i="8"/>
  <c r="K248" i="8"/>
  <c r="K261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G264" i="8"/>
  <c r="G256" i="8"/>
  <c r="G265" i="8"/>
  <c r="L265" i="8" s="1"/>
  <c r="N265" i="8" s="1"/>
  <c r="G266" i="8"/>
  <c r="G252" i="8"/>
  <c r="G258" i="8"/>
  <c r="G261" i="8"/>
  <c r="G34" i="8"/>
  <c r="G35" i="8"/>
  <c r="L35" i="8" s="1"/>
  <c r="N35" i="8" s="1"/>
  <c r="G36" i="8"/>
  <c r="L36" i="8" s="1"/>
  <c r="N36" i="8" s="1"/>
  <c r="G37" i="8"/>
  <c r="G38" i="8"/>
  <c r="G39" i="8"/>
  <c r="G40" i="8"/>
  <c r="G41" i="8"/>
  <c r="G42" i="8"/>
  <c r="G43" i="8"/>
  <c r="L43" i="8" s="1"/>
  <c r="N43" i="8" s="1"/>
  <c r="G44" i="8"/>
  <c r="L44" i="8" s="1"/>
  <c r="N44" i="8" s="1"/>
  <c r="G45" i="8"/>
  <c r="G46" i="8"/>
  <c r="G47" i="8"/>
  <c r="G48" i="8"/>
  <c r="G49" i="8"/>
  <c r="G50" i="8"/>
  <c r="G51" i="8"/>
  <c r="L51" i="8" s="1"/>
  <c r="N51" i="8" s="1"/>
  <c r="G52" i="8"/>
  <c r="L52" i="8" s="1"/>
  <c r="N52" i="8" s="1"/>
  <c r="G53" i="8"/>
  <c r="G54" i="8"/>
  <c r="G55" i="8"/>
  <c r="G56" i="8"/>
  <c r="G57" i="8"/>
  <c r="G58" i="8"/>
  <c r="G59" i="8"/>
  <c r="L59" i="8" s="1"/>
  <c r="N59" i="8" s="1"/>
  <c r="G60" i="8"/>
  <c r="L60" i="8" s="1"/>
  <c r="N60" i="8" s="1"/>
  <c r="G61" i="8"/>
  <c r="G62" i="8"/>
  <c r="G63" i="8"/>
  <c r="G64" i="8"/>
  <c r="G65" i="8"/>
  <c r="G66" i="8"/>
  <c r="G67" i="8"/>
  <c r="L67" i="8" s="1"/>
  <c r="N67" i="8" s="1"/>
  <c r="G68" i="8"/>
  <c r="L68" i="8" s="1"/>
  <c r="N68" i="8" s="1"/>
  <c r="G69" i="8"/>
  <c r="G70" i="8"/>
  <c r="G71" i="8"/>
  <c r="G72" i="8"/>
  <c r="G73" i="8"/>
  <c r="G74" i="8"/>
  <c r="G75" i="8"/>
  <c r="L75" i="8" s="1"/>
  <c r="N75" i="8" s="1"/>
  <c r="G76" i="8"/>
  <c r="L76" i="8" s="1"/>
  <c r="N76" i="8" s="1"/>
  <c r="G77" i="8"/>
  <c r="G78" i="8"/>
  <c r="G79" i="8"/>
  <c r="G80" i="8"/>
  <c r="G81" i="8"/>
  <c r="G82" i="8"/>
  <c r="G83" i="8"/>
  <c r="G84" i="8"/>
  <c r="L84" i="8" s="1"/>
  <c r="N84" i="8" s="1"/>
  <c r="G85" i="8"/>
  <c r="G86" i="8"/>
  <c r="G87" i="8"/>
  <c r="G88" i="8"/>
  <c r="G89" i="8"/>
  <c r="G90" i="8"/>
  <c r="G91" i="8"/>
  <c r="L91" i="8" s="1"/>
  <c r="N91" i="8" s="1"/>
  <c r="G92" i="8"/>
  <c r="L92" i="8" s="1"/>
  <c r="N92" i="8" s="1"/>
  <c r="G93" i="8"/>
  <c r="G94" i="8"/>
  <c r="G95" i="8"/>
  <c r="G96" i="8"/>
  <c r="G97" i="8"/>
  <c r="G98" i="8"/>
  <c r="G99" i="8"/>
  <c r="L99" i="8" s="1"/>
  <c r="N99" i="8" s="1"/>
  <c r="G100" i="8"/>
  <c r="L100" i="8" s="1"/>
  <c r="N100" i="8" s="1"/>
  <c r="G101" i="8"/>
  <c r="G102" i="8"/>
  <c r="G103" i="8"/>
  <c r="G104" i="8"/>
  <c r="G105" i="8"/>
  <c r="G106" i="8"/>
  <c r="G107" i="8"/>
  <c r="G108" i="8"/>
  <c r="L108" i="8" s="1"/>
  <c r="N108" i="8" s="1"/>
  <c r="G109" i="8"/>
  <c r="G110" i="8"/>
  <c r="G111" i="8"/>
  <c r="G112" i="8"/>
  <c r="G113" i="8"/>
  <c r="G114" i="8"/>
  <c r="G115" i="8"/>
  <c r="L115" i="8" s="1"/>
  <c r="N115" i="8" s="1"/>
  <c r="G116" i="8"/>
  <c r="L116" i="8" s="1"/>
  <c r="N116" i="8" s="1"/>
  <c r="G117" i="8"/>
  <c r="G118" i="8"/>
  <c r="G119" i="8"/>
  <c r="G120" i="8"/>
  <c r="G121" i="8"/>
  <c r="G122" i="8"/>
  <c r="G123" i="8"/>
  <c r="L123" i="8" s="1"/>
  <c r="N123" i="8" s="1"/>
  <c r="G124" i="8"/>
  <c r="L124" i="8" s="1"/>
  <c r="N124" i="8" s="1"/>
  <c r="G125" i="8"/>
  <c r="G126" i="8"/>
  <c r="G127" i="8"/>
  <c r="N45" i="13"/>
  <c r="Q45" i="13" s="1"/>
  <c r="N146" i="10"/>
  <c r="Q17" i="13"/>
  <c r="G128" i="8"/>
  <c r="G129" i="8"/>
  <c r="G130" i="8"/>
  <c r="L130" i="8" s="1"/>
  <c r="N130" i="8" s="1"/>
  <c r="G131" i="8"/>
  <c r="L131" i="8" s="1"/>
  <c r="N131" i="8" s="1"/>
  <c r="G132" i="8"/>
  <c r="L132" i="8" s="1"/>
  <c r="N132" i="8" s="1"/>
  <c r="G133" i="8"/>
  <c r="G134" i="8"/>
  <c r="G135" i="8"/>
  <c r="G136" i="8"/>
  <c r="G137" i="8"/>
  <c r="G138" i="8"/>
  <c r="L138" i="8" s="1"/>
  <c r="N138" i="8" s="1"/>
  <c r="G139" i="8"/>
  <c r="L139" i="8" s="1"/>
  <c r="N139" i="8" s="1"/>
  <c r="G140" i="8"/>
  <c r="L140" i="8" s="1"/>
  <c r="N140" i="8" s="1"/>
  <c r="G141" i="8"/>
  <c r="G142" i="8"/>
  <c r="G143" i="8"/>
  <c r="G144" i="8"/>
  <c r="G145" i="8"/>
  <c r="G146" i="8"/>
  <c r="L146" i="8" s="1"/>
  <c r="N146" i="8" s="1"/>
  <c r="G147" i="8"/>
  <c r="L147" i="8" s="1"/>
  <c r="N147" i="8" s="1"/>
  <c r="G148" i="8"/>
  <c r="L148" i="8" s="1"/>
  <c r="N148" i="8" s="1"/>
  <c r="G149" i="8"/>
  <c r="G150" i="8"/>
  <c r="G151" i="8"/>
  <c r="G152" i="8"/>
  <c r="G153" i="8"/>
  <c r="G154" i="8"/>
  <c r="L154" i="8" s="1"/>
  <c r="N154" i="8" s="1"/>
  <c r="G155" i="8"/>
  <c r="G156" i="8"/>
  <c r="L156" i="8" s="1"/>
  <c r="N156" i="8" s="1"/>
  <c r="G157" i="8"/>
  <c r="G158" i="8"/>
  <c r="G159" i="8"/>
  <c r="G160" i="8"/>
  <c r="G161" i="8"/>
  <c r="G162" i="8"/>
  <c r="L162" i="8" s="1"/>
  <c r="N162" i="8" s="1"/>
  <c r="G163" i="8"/>
  <c r="G164" i="8"/>
  <c r="L164" i="8" s="1"/>
  <c r="N164" i="8" s="1"/>
  <c r="G165" i="8"/>
  <c r="G166" i="8"/>
  <c r="G167" i="8"/>
  <c r="G168" i="8"/>
  <c r="G169" i="8"/>
  <c r="G170" i="8"/>
  <c r="L170" i="8" s="1"/>
  <c r="N170" i="8" s="1"/>
  <c r="G171" i="8"/>
  <c r="G172" i="8"/>
  <c r="L172" i="8" s="1"/>
  <c r="N172" i="8" s="1"/>
  <c r="G173" i="8"/>
  <c r="G174" i="8"/>
  <c r="G175" i="8"/>
  <c r="G176" i="8"/>
  <c r="G177" i="8"/>
  <c r="G178" i="8"/>
  <c r="L178" i="8" s="1"/>
  <c r="N178" i="8" s="1"/>
  <c r="G179" i="8"/>
  <c r="G180" i="8"/>
  <c r="L180" i="8" s="1"/>
  <c r="N180" i="8" s="1"/>
  <c r="G181" i="8"/>
  <c r="G182" i="8"/>
  <c r="G183" i="8"/>
  <c r="G184" i="8"/>
  <c r="G185" i="8"/>
  <c r="G186" i="8"/>
  <c r="G187" i="8"/>
  <c r="G188" i="8"/>
  <c r="L188" i="8" s="1"/>
  <c r="N188" i="8" s="1"/>
  <c r="G189" i="8"/>
  <c r="G190" i="8"/>
  <c r="G191" i="8"/>
  <c r="G192" i="8"/>
  <c r="G193" i="8"/>
  <c r="G194" i="8"/>
  <c r="G195" i="8"/>
  <c r="G196" i="8"/>
  <c r="L196" i="8" s="1"/>
  <c r="N196" i="8" s="1"/>
  <c r="G197" i="8"/>
  <c r="G198" i="8"/>
  <c r="G199" i="8"/>
  <c r="G200" i="8"/>
  <c r="G201" i="8"/>
  <c r="G202" i="8"/>
  <c r="G203" i="8"/>
  <c r="G204" i="8"/>
  <c r="L204" i="8" s="1"/>
  <c r="N204" i="8" s="1"/>
  <c r="G205" i="8"/>
  <c r="G206" i="8"/>
  <c r="G207" i="8"/>
  <c r="G208" i="8"/>
  <c r="G209" i="8"/>
  <c r="G210" i="8"/>
  <c r="G211" i="8"/>
  <c r="G212" i="8"/>
  <c r="L212" i="8" s="1"/>
  <c r="N212" i="8" s="1"/>
  <c r="G213" i="8"/>
  <c r="G214" i="8"/>
  <c r="G215" i="8"/>
  <c r="G216" i="8"/>
  <c r="G217" i="8"/>
  <c r="G218" i="8"/>
  <c r="G219" i="8"/>
  <c r="G220" i="8"/>
  <c r="L220" i="8" s="1"/>
  <c r="N220" i="8" s="1"/>
  <c r="G221" i="8"/>
  <c r="G222" i="8"/>
  <c r="G223" i="8"/>
  <c r="G224" i="8"/>
  <c r="G225" i="8"/>
  <c r="G226" i="8"/>
  <c r="G227" i="8"/>
  <c r="G228" i="8"/>
  <c r="L228" i="8" s="1"/>
  <c r="N228" i="8" s="1"/>
  <c r="G229" i="8"/>
  <c r="G230" i="8"/>
  <c r="G231" i="8"/>
  <c r="G232" i="8"/>
  <c r="G233" i="8"/>
  <c r="G234" i="8"/>
  <c r="G235" i="8"/>
  <c r="G236" i="8"/>
  <c r="L236" i="8" s="1"/>
  <c r="N236" i="8" s="1"/>
  <c r="G237" i="8"/>
  <c r="G238" i="8"/>
  <c r="G239" i="8"/>
  <c r="G240" i="8"/>
  <c r="G241" i="8"/>
  <c r="G242" i="8"/>
  <c r="G243" i="8"/>
  <c r="L243" i="8"/>
  <c r="N243" i="8" s="1"/>
  <c r="G244" i="8"/>
  <c r="G245" i="8"/>
  <c r="G246" i="8"/>
  <c r="G11" i="8"/>
  <c r="L11" i="8" s="1"/>
  <c r="N11" i="8" s="1"/>
  <c r="K10" i="8"/>
  <c r="G10" i="8"/>
  <c r="K114" i="10"/>
  <c r="K137" i="10"/>
  <c r="N34" i="14"/>
  <c r="Q34" i="14" s="1"/>
  <c r="N39" i="14"/>
  <c r="Q39" i="14" s="1"/>
  <c r="N38" i="14"/>
  <c r="Q38" i="14" s="1"/>
  <c r="N33" i="14"/>
  <c r="Q33" i="14" s="1"/>
  <c r="N35" i="14"/>
  <c r="Q35" i="14"/>
  <c r="N37" i="14"/>
  <c r="Q37" i="14" s="1"/>
  <c r="N36" i="14"/>
  <c r="Q36" i="14" s="1"/>
  <c r="N31" i="14"/>
  <c r="Q31" i="14" s="1"/>
  <c r="N32" i="14"/>
  <c r="Q32" i="14" s="1"/>
  <c r="N44" i="14"/>
  <c r="Q44" i="14" s="1"/>
  <c r="L104" i="8"/>
  <c r="N104" i="8" s="1"/>
  <c r="G249" i="8"/>
  <c r="G247" i="8"/>
  <c r="G248" i="8"/>
  <c r="L266" i="8"/>
  <c r="N266" i="8" s="1"/>
  <c r="G196" i="12"/>
  <c r="N10" i="13"/>
  <c r="Q10" i="13" s="1"/>
  <c r="K47" i="10"/>
  <c r="K48" i="10"/>
  <c r="K49" i="10"/>
  <c r="K50" i="10"/>
  <c r="L50" i="10" s="1"/>
  <c r="K51" i="10"/>
  <c r="L51" i="10" s="1"/>
  <c r="K52" i="10"/>
  <c r="K53" i="10"/>
  <c r="K54" i="10"/>
  <c r="K55" i="10"/>
  <c r="K56" i="10"/>
  <c r="L56" i="10" s="1"/>
  <c r="K57" i="10"/>
  <c r="K58" i="10"/>
  <c r="L58" i="10" s="1"/>
  <c r="K59" i="10"/>
  <c r="N59" i="10" s="1"/>
  <c r="K60" i="10"/>
  <c r="K61" i="10"/>
  <c r="K62" i="10"/>
  <c r="K63" i="10"/>
  <c r="K64" i="10"/>
  <c r="K65" i="10"/>
  <c r="K66" i="10"/>
  <c r="L66" i="10" s="1"/>
  <c r="K67" i="10"/>
  <c r="L67" i="10" s="1"/>
  <c r="K68" i="10"/>
  <c r="K69" i="10"/>
  <c r="K70" i="10"/>
  <c r="K71" i="10"/>
  <c r="K72" i="10"/>
  <c r="K73" i="10"/>
  <c r="K74" i="10"/>
  <c r="N74" i="10" s="1"/>
  <c r="K75" i="10"/>
  <c r="L75" i="10" s="1"/>
  <c r="K76" i="10"/>
  <c r="K77" i="10"/>
  <c r="K78" i="10"/>
  <c r="K79" i="10"/>
  <c r="K80" i="10"/>
  <c r="K81" i="10"/>
  <c r="K82" i="10"/>
  <c r="L82" i="10" s="1"/>
  <c r="K83" i="10"/>
  <c r="L83" i="10" s="1"/>
  <c r="K84" i="10"/>
  <c r="K85" i="10"/>
  <c r="K86" i="10"/>
  <c r="K87" i="10"/>
  <c r="K88" i="10"/>
  <c r="K89" i="10"/>
  <c r="K90" i="10"/>
  <c r="N90" i="10" s="1"/>
  <c r="K91" i="10"/>
  <c r="L91" i="10" s="1"/>
  <c r="K92" i="10"/>
  <c r="K93" i="10"/>
  <c r="K94" i="10"/>
  <c r="K95" i="10"/>
  <c r="K96" i="10"/>
  <c r="L96" i="10" s="1"/>
  <c r="K97" i="10"/>
  <c r="K98" i="10"/>
  <c r="K99" i="10"/>
  <c r="L99" i="10" s="1"/>
  <c r="K100" i="10"/>
  <c r="K101" i="10"/>
  <c r="K102" i="10"/>
  <c r="K103" i="10"/>
  <c r="K104" i="10"/>
  <c r="K105" i="10"/>
  <c r="K106" i="10"/>
  <c r="K107" i="10"/>
  <c r="N107" i="10" s="1"/>
  <c r="K108" i="10"/>
  <c r="K109" i="10"/>
  <c r="K110" i="10"/>
  <c r="K111" i="10"/>
  <c r="K112" i="10"/>
  <c r="K113" i="10"/>
  <c r="K116" i="10"/>
  <c r="L116" i="10" s="1"/>
  <c r="K117" i="10"/>
  <c r="K119" i="10"/>
  <c r="K134" i="10"/>
  <c r="K133" i="10"/>
  <c r="K147" i="10"/>
  <c r="K132" i="10"/>
  <c r="K148" i="10"/>
  <c r="K123" i="10"/>
  <c r="K168" i="10"/>
  <c r="K124" i="10"/>
  <c r="L124" i="10" s="1"/>
  <c r="K149" i="10"/>
  <c r="K150" i="10"/>
  <c r="K120" i="10"/>
  <c r="K125" i="10"/>
  <c r="K151" i="10"/>
  <c r="K135" i="10"/>
  <c r="L135" i="10" s="1"/>
  <c r="K145" i="10"/>
  <c r="K152" i="10"/>
  <c r="L152" i="10" s="1"/>
  <c r="K136" i="10"/>
  <c r="K153" i="10"/>
  <c r="K154" i="10"/>
  <c r="K144" i="10"/>
  <c r="G11" i="10"/>
  <c r="K11" i="10"/>
  <c r="K10" i="10"/>
  <c r="G10" i="10"/>
  <c r="G11" i="12"/>
  <c r="K11" i="12"/>
  <c r="K10" i="12"/>
  <c r="G10" i="12"/>
  <c r="N10" i="14"/>
  <c r="Q10" i="14" s="1"/>
  <c r="N11" i="14"/>
  <c r="Q11" i="14" s="1"/>
  <c r="N11" i="13"/>
  <c r="Q11" i="13"/>
  <c r="L10" i="8"/>
  <c r="N10" i="8" s="1"/>
  <c r="L159" i="8" l="1"/>
  <c r="N159" i="8" s="1"/>
  <c r="L83" i="8"/>
  <c r="N83" i="8" s="1"/>
  <c r="L79" i="8"/>
  <c r="N79" i="8" s="1"/>
  <c r="L47" i="8"/>
  <c r="N47" i="8" s="1"/>
  <c r="L121" i="10"/>
  <c r="L264" i="12"/>
  <c r="N264" i="12" s="1"/>
  <c r="L139" i="10"/>
  <c r="L210" i="12"/>
  <c r="N210" i="12" s="1"/>
  <c r="L249" i="12"/>
  <c r="N249" i="12" s="1"/>
  <c r="L142" i="10"/>
  <c r="L140" i="10"/>
  <c r="L235" i="12"/>
  <c r="N235" i="12" s="1"/>
  <c r="L138" i="15"/>
  <c r="L51" i="15"/>
  <c r="L100" i="15"/>
  <c r="L150" i="15"/>
  <c r="L166" i="15"/>
  <c r="L179" i="15"/>
  <c r="L184" i="15"/>
  <c r="O182" i="15"/>
  <c r="O169" i="15"/>
  <c r="O160" i="15"/>
  <c r="O155" i="15"/>
  <c r="L142" i="15"/>
  <c r="O128" i="15"/>
  <c r="O123" i="15"/>
  <c r="L118" i="15"/>
  <c r="O116" i="15"/>
  <c r="O114" i="15"/>
  <c r="O94" i="15"/>
  <c r="L89" i="15"/>
  <c r="O80" i="15"/>
  <c r="O73" i="15"/>
  <c r="O66" i="15"/>
  <c r="O53" i="15"/>
  <c r="O47" i="15"/>
  <c r="L42" i="15"/>
  <c r="L19" i="8"/>
  <c r="N19" i="8" s="1"/>
  <c r="L10" i="10"/>
  <c r="L138" i="10"/>
  <c r="N143" i="12"/>
  <c r="L146" i="10"/>
  <c r="L143" i="10"/>
  <c r="L263" i="12"/>
  <c r="N263" i="12" s="1"/>
  <c r="L253" i="8"/>
  <c r="N253" i="8" s="1"/>
  <c r="L157" i="10"/>
  <c r="L127" i="10"/>
  <c r="L129" i="10"/>
  <c r="L286" i="12"/>
  <c r="N286" i="12" s="1"/>
  <c r="L146" i="15"/>
  <c r="L141" i="15"/>
  <c r="L61" i="15"/>
  <c r="L172" i="15"/>
  <c r="L165" i="15"/>
  <c r="O163" i="15"/>
  <c r="L145" i="15"/>
  <c r="O140" i="15"/>
  <c r="L133" i="15"/>
  <c r="L121" i="15"/>
  <c r="O106" i="15"/>
  <c r="O92" i="15"/>
  <c r="O88" i="15"/>
  <c r="L87" i="15"/>
  <c r="L79" i="15"/>
  <c r="O78" i="15"/>
  <c r="L72" i="15"/>
  <c r="O71" i="15"/>
  <c r="O69" i="15"/>
  <c r="O64" i="15"/>
  <c r="L54" i="15"/>
  <c r="L45" i="15"/>
  <c r="L40" i="15"/>
  <c r="N117" i="10"/>
  <c r="L105" i="10"/>
  <c r="N97" i="10"/>
  <c r="N89" i="10"/>
  <c r="N73" i="10"/>
  <c r="N65" i="10"/>
  <c r="L57" i="10"/>
  <c r="L258" i="8"/>
  <c r="N258" i="8" s="1"/>
  <c r="N134" i="12"/>
  <c r="L257" i="8"/>
  <c r="N257" i="8" s="1"/>
  <c r="L225" i="12"/>
  <c r="N225" i="12" s="1"/>
  <c r="N256" i="12"/>
  <c r="L268" i="8"/>
  <c r="N268" i="8" s="1"/>
  <c r="L270" i="8"/>
  <c r="N270" i="8" s="1"/>
  <c r="L68" i="15"/>
  <c r="L44" i="15"/>
  <c r="O11" i="15"/>
  <c r="L170" i="10"/>
  <c r="L21" i="8"/>
  <c r="N21" i="8" s="1"/>
  <c r="L281" i="8"/>
  <c r="N281" i="8" s="1"/>
  <c r="L182" i="15"/>
  <c r="L322" i="12"/>
  <c r="N322" i="12" s="1"/>
  <c r="N18" i="10"/>
  <c r="L171" i="10"/>
  <c r="L27" i="10"/>
  <c r="O181" i="15"/>
  <c r="L175" i="15"/>
  <c r="O173" i="15"/>
  <c r="L170" i="15"/>
  <c r="L159" i="15"/>
  <c r="L157" i="15"/>
  <c r="O152" i="15"/>
  <c r="O143" i="15"/>
  <c r="O131" i="15"/>
  <c r="O129" i="15"/>
  <c r="O126" i="15"/>
  <c r="O124" i="15"/>
  <c r="O119" i="15"/>
  <c r="L113" i="15"/>
  <c r="L111" i="15"/>
  <c r="L104" i="15"/>
  <c r="O97" i="15"/>
  <c r="O95" i="15"/>
  <c r="O90" i="15"/>
  <c r="L85" i="15"/>
  <c r="O83" i="15"/>
  <c r="O65" i="15"/>
  <c r="L63" i="15"/>
  <c r="O52" i="15"/>
  <c r="O50" i="15"/>
  <c r="L48" i="15"/>
  <c r="O43" i="15"/>
  <c r="L39" i="15"/>
  <c r="N25" i="10"/>
  <c r="L48" i="12"/>
  <c r="N48" i="12" s="1"/>
  <c r="O22" i="15"/>
  <c r="L6" i="15" s="1"/>
  <c r="N24" i="14"/>
  <c r="N127" i="12"/>
  <c r="L86" i="12"/>
  <c r="N193" i="12"/>
  <c r="L87" i="12"/>
  <c r="L306" i="12"/>
  <c r="N306" i="12" s="1"/>
  <c r="L312" i="12"/>
  <c r="N312" i="12" s="1"/>
  <c r="L39" i="12"/>
  <c r="N39" i="12" s="1"/>
  <c r="L105" i="12"/>
  <c r="L313" i="12"/>
  <c r="N313" i="12" s="1"/>
  <c r="N87" i="12"/>
  <c r="L188" i="12"/>
  <c r="L180" i="12"/>
  <c r="L172" i="12"/>
  <c r="L164" i="12"/>
  <c r="L156" i="12"/>
  <c r="L84" i="12"/>
  <c r="N76" i="12"/>
  <c r="L244" i="12"/>
  <c r="L296" i="12"/>
  <c r="N296" i="12" s="1"/>
  <c r="L11" i="12"/>
  <c r="N11" i="12" s="1"/>
  <c r="L216" i="12"/>
  <c r="N216" i="12" s="1"/>
  <c r="L230" i="12"/>
  <c r="N230" i="12" s="1"/>
  <c r="L224" i="12"/>
  <c r="N224" i="12" s="1"/>
  <c r="L295" i="12"/>
  <c r="N295" i="12" s="1"/>
  <c r="L293" i="12"/>
  <c r="N293" i="12" s="1"/>
  <c r="L304" i="12"/>
  <c r="N304" i="12" s="1"/>
  <c r="L29" i="12"/>
  <c r="N29" i="12" s="1"/>
  <c r="L54" i="12"/>
  <c r="N54" i="12" s="1"/>
  <c r="L44" i="12"/>
  <c r="N44" i="12" s="1"/>
  <c r="L325" i="12"/>
  <c r="N325" i="12" s="1"/>
  <c r="L233" i="12"/>
  <c r="N233" i="12" s="1"/>
  <c r="L187" i="12"/>
  <c r="L179" i="12"/>
  <c r="L171" i="12"/>
  <c r="L163" i="12"/>
  <c r="L155" i="12"/>
  <c r="L147" i="12"/>
  <c r="N123" i="12"/>
  <c r="L115" i="12"/>
  <c r="N107" i="12"/>
  <c r="N99" i="12"/>
  <c r="N91" i="12"/>
  <c r="L203" i="12"/>
  <c r="N203" i="12" s="1"/>
  <c r="L201" i="12"/>
  <c r="N201" i="12" s="1"/>
  <c r="L274" i="12"/>
  <c r="N274" i="12" s="1"/>
  <c r="L220" i="12"/>
  <c r="N220" i="12" s="1"/>
  <c r="L319" i="12"/>
  <c r="N319" i="12" s="1"/>
  <c r="L326" i="12"/>
  <c r="N326" i="12" s="1"/>
  <c r="L329" i="12"/>
  <c r="N329" i="12" s="1"/>
  <c r="L330" i="12"/>
  <c r="N330" i="12" s="1"/>
  <c r="L275" i="12"/>
  <c r="N275" i="12" s="1"/>
  <c r="N93" i="12"/>
  <c r="L241" i="12"/>
  <c r="L302" i="12"/>
  <c r="N302" i="12" s="1"/>
  <c r="L196" i="12"/>
  <c r="N182" i="12"/>
  <c r="N166" i="12"/>
  <c r="N150" i="12"/>
  <c r="N118" i="12"/>
  <c r="L110" i="12"/>
  <c r="L102" i="12"/>
  <c r="N94" i="12"/>
  <c r="N81" i="12"/>
  <c r="L259" i="12"/>
  <c r="N259" i="12" s="1"/>
  <c r="L221" i="12"/>
  <c r="N221" i="12" s="1"/>
  <c r="L284" i="12"/>
  <c r="N284" i="12" s="1"/>
  <c r="L327" i="12"/>
  <c r="N327" i="12" s="1"/>
  <c r="L193" i="12"/>
  <c r="N183" i="12"/>
  <c r="N175" i="12"/>
  <c r="N167" i="12"/>
  <c r="N159" i="12"/>
  <c r="N151" i="12"/>
  <c r="L135" i="12"/>
  <c r="L127" i="12"/>
  <c r="N119" i="12"/>
  <c r="L111" i="12"/>
  <c r="L103" i="12"/>
  <c r="N95" i="12"/>
  <c r="L79" i="12"/>
  <c r="L144" i="12"/>
  <c r="N204" i="12"/>
  <c r="N195" i="12"/>
  <c r="L145" i="12"/>
  <c r="L137" i="12"/>
  <c r="L97" i="12"/>
  <c r="L89" i="12"/>
  <c r="L254" i="12"/>
  <c r="N255" i="12"/>
  <c r="L237" i="12"/>
  <c r="N237" i="12" s="1"/>
  <c r="L281" i="12"/>
  <c r="N281" i="12" s="1"/>
  <c r="L285" i="12"/>
  <c r="N285" i="12" s="1"/>
  <c r="L81" i="12"/>
  <c r="L122" i="12"/>
  <c r="L114" i="12"/>
  <c r="N106" i="12"/>
  <c r="N98" i="12"/>
  <c r="N90" i="12"/>
  <c r="L202" i="12"/>
  <c r="N202" i="12" s="1"/>
  <c r="L213" i="12"/>
  <c r="N213" i="12" s="1"/>
  <c r="N226" i="12"/>
  <c r="L243" i="12"/>
  <c r="N243" i="12" s="1"/>
  <c r="N244" i="12"/>
  <c r="L205" i="12"/>
  <c r="L255" i="12"/>
  <c r="L206" i="12"/>
  <c r="N206" i="12" s="1"/>
  <c r="N250" i="12"/>
  <c r="N188" i="12"/>
  <c r="N180" i="12"/>
  <c r="N172" i="12"/>
  <c r="N164" i="12"/>
  <c r="N156" i="12"/>
  <c r="N148" i="12"/>
  <c r="L140" i="12"/>
  <c r="N132" i="12"/>
  <c r="L100" i="12"/>
  <c r="L92" i="12"/>
  <c r="N84" i="12"/>
  <c r="L76" i="12"/>
  <c r="L30" i="12"/>
  <c r="N30" i="12" s="1"/>
  <c r="L215" i="12"/>
  <c r="N215" i="12" s="1"/>
  <c r="L300" i="12"/>
  <c r="N300" i="12" s="1"/>
  <c r="L232" i="12"/>
  <c r="N232" i="12" s="1"/>
  <c r="L309" i="12"/>
  <c r="N309" i="12" s="1"/>
  <c r="L231" i="12"/>
  <c r="N231" i="12" s="1"/>
  <c r="N254" i="12"/>
  <c r="L258" i="12"/>
  <c r="N258" i="12" s="1"/>
  <c r="L289" i="12"/>
  <c r="N289" i="12" s="1"/>
  <c r="L297" i="12"/>
  <c r="N297" i="12" s="1"/>
  <c r="L314" i="12"/>
  <c r="N314" i="12" s="1"/>
  <c r="L95" i="12"/>
  <c r="L268" i="12"/>
  <c r="N268" i="12" s="1"/>
  <c r="L269" i="12"/>
  <c r="N269" i="12" s="1"/>
  <c r="L272" i="12"/>
  <c r="N272" i="12" s="1"/>
  <c r="L223" i="12"/>
  <c r="N223" i="12" s="1"/>
  <c r="L228" i="12"/>
  <c r="N228" i="12" s="1"/>
  <c r="L27" i="12"/>
  <c r="N27" i="12" s="1"/>
  <c r="L315" i="12"/>
  <c r="N315" i="12" s="1"/>
  <c r="L50" i="12"/>
  <c r="N50" i="12" s="1"/>
  <c r="L271" i="12"/>
  <c r="N271" i="12" s="1"/>
  <c r="N186" i="12"/>
  <c r="N170" i="12"/>
  <c r="N154" i="12"/>
  <c r="N130" i="12"/>
  <c r="N114" i="12"/>
  <c r="L98" i="12"/>
  <c r="N74" i="12"/>
  <c r="L181" i="12"/>
  <c r="N157" i="12"/>
  <c r="L141" i="12"/>
  <c r="N125" i="12"/>
  <c r="L109" i="12"/>
  <c r="L93" i="12"/>
  <c r="L246" i="12"/>
  <c r="N187" i="12"/>
  <c r="N179" i="12"/>
  <c r="N171" i="12"/>
  <c r="N163" i="12"/>
  <c r="N155" i="12"/>
  <c r="N147" i="12"/>
  <c r="L139" i="12"/>
  <c r="L131" i="12"/>
  <c r="N115" i="12"/>
  <c r="L107" i="12"/>
  <c r="L99" i="12"/>
  <c r="L91" i="12"/>
  <c r="L83" i="12"/>
  <c r="L75" i="12"/>
  <c r="N190" i="12"/>
  <c r="L182" i="12"/>
  <c r="L174" i="12"/>
  <c r="N158" i="12"/>
  <c r="L150" i="12"/>
  <c r="N142" i="12"/>
  <c r="L134" i="12"/>
  <c r="N126" i="12"/>
  <c r="L118" i="12"/>
  <c r="N110" i="12"/>
  <c r="N102" i="12"/>
  <c r="L94" i="12"/>
  <c r="N86" i="12"/>
  <c r="N209" i="12"/>
  <c r="L200" i="12"/>
  <c r="N200" i="12" s="1"/>
  <c r="N199" i="12"/>
  <c r="L212" i="12"/>
  <c r="N212" i="12" s="1"/>
  <c r="L245" i="12"/>
  <c r="N245" i="12" s="1"/>
  <c r="L242" i="12"/>
  <c r="N242" i="12" s="1"/>
  <c r="L252" i="12"/>
  <c r="N252" i="12" s="1"/>
  <c r="L282" i="12"/>
  <c r="N282" i="12" s="1"/>
  <c r="L324" i="12"/>
  <c r="N324" i="12" s="1"/>
  <c r="L219" i="12"/>
  <c r="N219" i="12" s="1"/>
  <c r="G311" i="12"/>
  <c r="L311" i="12" s="1"/>
  <c r="N311" i="12" s="1"/>
  <c r="L261" i="12"/>
  <c r="N261" i="12" s="1"/>
  <c r="N178" i="12"/>
  <c r="N162" i="12"/>
  <c r="N146" i="12"/>
  <c r="N138" i="12"/>
  <c r="L106" i="12"/>
  <c r="L90" i="12"/>
  <c r="L82" i="12"/>
  <c r="L189" i="12"/>
  <c r="L173" i="12"/>
  <c r="N149" i="12"/>
  <c r="L133" i="12"/>
  <c r="L117" i="12"/>
  <c r="L101" i="12"/>
  <c r="N85" i="12"/>
  <c r="L214" i="12"/>
  <c r="L287" i="12"/>
  <c r="N287" i="12" s="1"/>
  <c r="L283" i="12"/>
  <c r="N283" i="12" s="1"/>
  <c r="L123" i="12"/>
  <c r="L175" i="12"/>
  <c r="L159" i="12"/>
  <c r="L151" i="12"/>
  <c r="L143" i="12"/>
  <c r="L119" i="12"/>
  <c r="N111" i="12"/>
  <c r="N103" i="12"/>
  <c r="N196" i="12"/>
  <c r="L265" i="12"/>
  <c r="N265" i="12" s="1"/>
  <c r="L267" i="12"/>
  <c r="N267" i="12" s="1"/>
  <c r="L236" i="12"/>
  <c r="N236" i="12" s="1"/>
  <c r="L332" i="12"/>
  <c r="N332" i="12" s="1"/>
  <c r="L316" i="12"/>
  <c r="N316" i="12" s="1"/>
  <c r="L317" i="12"/>
  <c r="N317" i="12" s="1"/>
  <c r="L45" i="12"/>
  <c r="N45" i="12" s="1"/>
  <c r="L52" i="12"/>
  <c r="N52" i="12" s="1"/>
  <c r="N101" i="12"/>
  <c r="L186" i="12"/>
  <c r="L178" i="12"/>
  <c r="L158" i="12"/>
  <c r="L183" i="12"/>
  <c r="N131" i="12"/>
  <c r="N83" i="12"/>
  <c r="L253" i="12"/>
  <c r="N253" i="12" s="1"/>
  <c r="L276" i="12"/>
  <c r="N276" i="12" s="1"/>
  <c r="L222" i="12"/>
  <c r="N222" i="12" s="1"/>
  <c r="L239" i="12"/>
  <c r="N239" i="12" s="1"/>
  <c r="L238" i="12"/>
  <c r="N238" i="12" s="1"/>
  <c r="L279" i="12"/>
  <c r="N279" i="12" s="1"/>
  <c r="L199" i="12"/>
  <c r="L132" i="12"/>
  <c r="L10" i="12"/>
  <c r="N10" i="12" s="1"/>
  <c r="N117" i="12"/>
  <c r="L148" i="12"/>
  <c r="N124" i="12"/>
  <c r="N116" i="12"/>
  <c r="N108" i="12"/>
  <c r="N100" i="12"/>
  <c r="N92" i="12"/>
  <c r="L227" i="12"/>
  <c r="N227" i="12" s="1"/>
  <c r="L277" i="12"/>
  <c r="N277" i="12" s="1"/>
  <c r="L290" i="12"/>
  <c r="N290" i="12" s="1"/>
  <c r="L278" i="12"/>
  <c r="N278" i="12" s="1"/>
  <c r="L288" i="12"/>
  <c r="N288" i="12" s="1"/>
  <c r="L320" i="12"/>
  <c r="N320" i="12" s="1"/>
  <c r="L321" i="12"/>
  <c r="N321" i="12" s="1"/>
  <c r="N139" i="12"/>
  <c r="N109" i="12"/>
  <c r="L250" i="12"/>
  <c r="L142" i="12"/>
  <c r="N140" i="12"/>
  <c r="N165" i="12"/>
  <c r="N133" i="12"/>
  <c r="N77" i="12"/>
  <c r="N194" i="12"/>
  <c r="N184" i="12"/>
  <c r="N176" i="12"/>
  <c r="L168" i="12"/>
  <c r="N160" i="12"/>
  <c r="N152" i="12"/>
  <c r="N144" i="12"/>
  <c r="N136" i="12"/>
  <c r="N128" i="12"/>
  <c r="N120" i="12"/>
  <c r="N112" i="12"/>
  <c r="N104" i="12"/>
  <c r="N96" i="12"/>
  <c r="N88" i="12"/>
  <c r="N80" i="12"/>
  <c r="L197" i="12"/>
  <c r="N197" i="12" s="1"/>
  <c r="L191" i="12"/>
  <c r="N214" i="12"/>
  <c r="L260" i="12"/>
  <c r="N260" i="12" s="1"/>
  <c r="L257" i="12"/>
  <c r="N257" i="12" s="1"/>
  <c r="N241" i="12"/>
  <c r="L204" i="12"/>
  <c r="L262" i="12"/>
  <c r="N262" i="12" s="1"/>
  <c r="L266" i="12"/>
  <c r="N266" i="12" s="1"/>
  <c r="L217" i="12"/>
  <c r="N217" i="12" s="1"/>
  <c r="L234" i="12"/>
  <c r="N234" i="12" s="1"/>
  <c r="L247" i="12"/>
  <c r="N247" i="12" s="1"/>
  <c r="L294" i="12"/>
  <c r="N294" i="12" s="1"/>
  <c r="L292" i="12"/>
  <c r="N292" i="12" s="1"/>
  <c r="L16" i="12"/>
  <c r="N16" i="12" s="1"/>
  <c r="L305" i="12"/>
  <c r="N305" i="12" s="1"/>
  <c r="L299" i="12"/>
  <c r="N299" i="12" s="1"/>
  <c r="L310" i="12"/>
  <c r="N310" i="12" s="1"/>
  <c r="L328" i="12"/>
  <c r="N328" i="12" s="1"/>
  <c r="L301" i="12"/>
  <c r="N301" i="12" s="1"/>
  <c r="L167" i="12"/>
  <c r="N135" i="12"/>
  <c r="N79" i="12"/>
  <c r="L207" i="12"/>
  <c r="N207" i="12" s="1"/>
  <c r="L298" i="12"/>
  <c r="N298" i="12" s="1"/>
  <c r="L226" i="12"/>
  <c r="N122" i="12"/>
  <c r="N174" i="12"/>
  <c r="L190" i="12"/>
  <c r="L166" i="12"/>
  <c r="L126" i="12"/>
  <c r="L78" i="12"/>
  <c r="N185" i="12"/>
  <c r="N177" i="12"/>
  <c r="L169" i="12"/>
  <c r="N161" i="12"/>
  <c r="N153" i="12"/>
  <c r="N145" i="12"/>
  <c r="N137" i="12"/>
  <c r="L129" i="12"/>
  <c r="N121" i="12"/>
  <c r="N113" i="12"/>
  <c r="N105" i="12"/>
  <c r="N97" i="12"/>
  <c r="N89" i="12"/>
  <c r="L198" i="12"/>
  <c r="L240" i="12"/>
  <c r="L211" i="12"/>
  <c r="N211" i="12" s="1"/>
  <c r="L248" i="12"/>
  <c r="N248" i="12" s="1"/>
  <c r="L208" i="12"/>
  <c r="N208" i="12" s="1"/>
  <c r="L229" i="12"/>
  <c r="N229" i="12" s="1"/>
  <c r="L273" i="12"/>
  <c r="N273" i="12" s="1"/>
  <c r="L218" i="12"/>
  <c r="N218" i="12" s="1"/>
  <c r="L251" i="12"/>
  <c r="N251" i="12" s="1"/>
  <c r="L291" i="12"/>
  <c r="N291" i="12" s="1"/>
  <c r="L308" i="12"/>
  <c r="N308" i="12" s="1"/>
  <c r="L33" i="12"/>
  <c r="N33" i="12" s="1"/>
  <c r="L318" i="12"/>
  <c r="N318" i="12" s="1"/>
  <c r="L43" i="12"/>
  <c r="N43" i="12" s="1"/>
  <c r="L46" i="12"/>
  <c r="N46" i="12" s="1"/>
  <c r="L55" i="12"/>
  <c r="N55" i="12" s="1"/>
  <c r="L194" i="12"/>
  <c r="L128" i="12"/>
  <c r="L184" i="12"/>
  <c r="L176" i="12"/>
  <c r="L165" i="12"/>
  <c r="L77" i="12"/>
  <c r="N191" i="12"/>
  <c r="L256" i="12"/>
  <c r="L74" i="12"/>
  <c r="L185" i="12"/>
  <c r="L177" i="12"/>
  <c r="L192" i="12"/>
  <c r="L136" i="12"/>
  <c r="N240" i="12"/>
  <c r="N198" i="12"/>
  <c r="N82" i="12"/>
  <c r="L15" i="12"/>
  <c r="N15" i="12" s="1"/>
  <c r="L104" i="12"/>
  <c r="L96" i="12"/>
  <c r="L88" i="12"/>
  <c r="L124" i="12"/>
  <c r="L116" i="12"/>
  <c r="L108" i="12"/>
  <c r="L157" i="12"/>
  <c r="L149" i="12"/>
  <c r="L146" i="12"/>
  <c r="N189" i="12"/>
  <c r="N181" i="12"/>
  <c r="N173" i="12"/>
  <c r="N141" i="12"/>
  <c r="N75" i="12"/>
  <c r="L38" i="12"/>
  <c r="N38" i="12" s="1"/>
  <c r="L53" i="12"/>
  <c r="N53" i="12" s="1"/>
  <c r="L331" i="12"/>
  <c r="N331" i="12" s="1"/>
  <c r="L195" i="12"/>
  <c r="L209" i="12"/>
  <c r="L160" i="12"/>
  <c r="L152" i="12"/>
  <c r="N205" i="12"/>
  <c r="N246" i="12"/>
  <c r="N168" i="12"/>
  <c r="N78" i="12"/>
  <c r="L125" i="12"/>
  <c r="L19" i="12"/>
  <c r="N19" i="12" s="1"/>
  <c r="L13" i="12"/>
  <c r="N13" i="12" s="1"/>
  <c r="L80" i="12"/>
  <c r="L120" i="12"/>
  <c r="L112" i="12"/>
  <c r="L161" i="12"/>
  <c r="L153" i="12"/>
  <c r="L170" i="12"/>
  <c r="L130" i="12"/>
  <c r="N169" i="12"/>
  <c r="N129" i="12"/>
  <c r="L49" i="12"/>
  <c r="N49" i="12" s="1"/>
  <c r="L32" i="12"/>
  <c r="N32" i="12" s="1"/>
  <c r="L35" i="12"/>
  <c r="N35" i="12" s="1"/>
  <c r="L85" i="12"/>
  <c r="L121" i="12"/>
  <c r="L113" i="12"/>
  <c r="L162" i="12"/>
  <c r="L154" i="12"/>
  <c r="L138" i="12"/>
  <c r="L20" i="12"/>
  <c r="N20" i="12" s="1"/>
  <c r="L47" i="12"/>
  <c r="N47" i="12" s="1"/>
  <c r="L28" i="12"/>
  <c r="N28" i="12" s="1"/>
  <c r="L239" i="8"/>
  <c r="N239" i="8" s="1"/>
  <c r="L208" i="8"/>
  <c r="N208" i="8" s="1"/>
  <c r="L168" i="8"/>
  <c r="N168" i="8" s="1"/>
  <c r="L105" i="8"/>
  <c r="N105" i="8" s="1"/>
  <c r="L261" i="8"/>
  <c r="N261" i="8" s="1"/>
  <c r="L85" i="8"/>
  <c r="N85" i="8" s="1"/>
  <c r="L244" i="8"/>
  <c r="N244" i="8" s="1"/>
  <c r="L74" i="8"/>
  <c r="N74" i="8" s="1"/>
  <c r="L42" i="8"/>
  <c r="N42" i="8" s="1"/>
  <c r="L34" i="8"/>
  <c r="N34" i="8" s="1"/>
  <c r="L182" i="8"/>
  <c r="N182" i="8" s="1"/>
  <c r="L158" i="8"/>
  <c r="N158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62" i="8"/>
  <c r="N62" i="8" s="1"/>
  <c r="L54" i="8"/>
  <c r="N54" i="8" s="1"/>
  <c r="L46" i="8"/>
  <c r="N46" i="8" s="1"/>
  <c r="L38" i="8"/>
  <c r="N38" i="8" s="1"/>
  <c r="L254" i="8"/>
  <c r="N254" i="8" s="1"/>
  <c r="L259" i="8"/>
  <c r="N259" i="8" s="1"/>
  <c r="L251" i="8"/>
  <c r="N251" i="8" s="1"/>
  <c r="L199" i="8"/>
  <c r="N199" i="8" s="1"/>
  <c r="L200" i="8"/>
  <c r="N200" i="8" s="1"/>
  <c r="L176" i="8"/>
  <c r="N176" i="8" s="1"/>
  <c r="L248" i="8"/>
  <c r="N248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44" i="8"/>
  <c r="N144" i="8" s="1"/>
  <c r="L127" i="8"/>
  <c r="N127" i="8" s="1"/>
  <c r="L71" i="8"/>
  <c r="N71" i="8" s="1"/>
  <c r="L211" i="8"/>
  <c r="N211" i="8" s="1"/>
  <c r="L179" i="8"/>
  <c r="N179" i="8" s="1"/>
  <c r="L107" i="8"/>
  <c r="N107" i="8" s="1"/>
  <c r="L207" i="8"/>
  <c r="N207" i="8" s="1"/>
  <c r="L143" i="8"/>
  <c r="N143" i="8" s="1"/>
  <c r="L136" i="8"/>
  <c r="N136" i="8" s="1"/>
  <c r="L275" i="8"/>
  <c r="N275" i="8" s="1"/>
  <c r="L272" i="8"/>
  <c r="N272" i="8" s="1"/>
  <c r="L205" i="8"/>
  <c r="N205" i="8" s="1"/>
  <c r="L271" i="8"/>
  <c r="N271" i="8" s="1"/>
  <c r="L237" i="8"/>
  <c r="N237" i="8" s="1"/>
  <c r="L206" i="8"/>
  <c r="N206" i="8" s="1"/>
  <c r="L175" i="8"/>
  <c r="N175" i="8" s="1"/>
  <c r="L167" i="8"/>
  <c r="N167" i="8" s="1"/>
  <c r="L255" i="8"/>
  <c r="N255" i="8" s="1"/>
  <c r="L262" i="8"/>
  <c r="N262" i="8" s="1"/>
  <c r="L276" i="8"/>
  <c r="N276" i="8" s="1"/>
  <c r="L278" i="8"/>
  <c r="N278" i="8" s="1"/>
  <c r="L283" i="8"/>
  <c r="N283" i="8" s="1"/>
  <c r="L214" i="8"/>
  <c r="N214" i="8" s="1"/>
  <c r="L223" i="8"/>
  <c r="N223" i="8" s="1"/>
  <c r="L111" i="8"/>
  <c r="N111" i="8" s="1"/>
  <c r="L87" i="8"/>
  <c r="N87" i="8" s="1"/>
  <c r="L55" i="8"/>
  <c r="N55" i="8" s="1"/>
  <c r="L39" i="8"/>
  <c r="N39" i="8" s="1"/>
  <c r="L277" i="8"/>
  <c r="N277" i="8" s="1"/>
  <c r="L210" i="8"/>
  <c r="N210" i="8" s="1"/>
  <c r="L202" i="8"/>
  <c r="N202" i="8" s="1"/>
  <c r="L194" i="8"/>
  <c r="N194" i="8" s="1"/>
  <c r="L186" i="8"/>
  <c r="N186" i="8" s="1"/>
  <c r="L171" i="8"/>
  <c r="N171" i="8" s="1"/>
  <c r="L163" i="8"/>
  <c r="N163" i="8" s="1"/>
  <c r="L155" i="8"/>
  <c r="N155" i="8" s="1"/>
  <c r="L184" i="8"/>
  <c r="N184" i="8" s="1"/>
  <c r="L160" i="8"/>
  <c r="N160" i="8" s="1"/>
  <c r="L152" i="8"/>
  <c r="N152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74" i="8"/>
  <c r="N274" i="8" s="1"/>
  <c r="L222" i="8"/>
  <c r="N222" i="8" s="1"/>
  <c r="L215" i="8"/>
  <c r="N215" i="8" s="1"/>
  <c r="L183" i="8"/>
  <c r="N183" i="8" s="1"/>
  <c r="L119" i="8"/>
  <c r="N119" i="8" s="1"/>
  <c r="L103" i="8"/>
  <c r="N103" i="8" s="1"/>
  <c r="L95" i="8"/>
  <c r="N95" i="8" s="1"/>
  <c r="L63" i="8"/>
  <c r="N63" i="8" s="1"/>
  <c r="L242" i="8"/>
  <c r="N242" i="8" s="1"/>
  <c r="L234" i="8"/>
  <c r="N234" i="8" s="1"/>
  <c r="L226" i="8"/>
  <c r="N226" i="8" s="1"/>
  <c r="L218" i="8"/>
  <c r="N218" i="8" s="1"/>
  <c r="L203" i="8"/>
  <c r="N203" i="8" s="1"/>
  <c r="L195" i="8"/>
  <c r="N195" i="8" s="1"/>
  <c r="L187" i="8"/>
  <c r="N187" i="8" s="1"/>
  <c r="L141" i="8"/>
  <c r="N141" i="8" s="1"/>
  <c r="L282" i="8"/>
  <c r="N282" i="8" s="1"/>
  <c r="L230" i="8"/>
  <c r="N230" i="8" s="1"/>
  <c r="L263" i="8"/>
  <c r="N263" i="8" s="1"/>
  <c r="L235" i="8"/>
  <c r="N235" i="8" s="1"/>
  <c r="L227" i="8"/>
  <c r="N227" i="8" s="1"/>
  <c r="L219" i="8"/>
  <c r="N219" i="8" s="1"/>
  <c r="L173" i="8"/>
  <c r="N173" i="8" s="1"/>
  <c r="L142" i="8"/>
  <c r="N142" i="8" s="1"/>
  <c r="L267" i="8"/>
  <c r="N267" i="8" s="1"/>
  <c r="L250" i="8"/>
  <c r="N250" i="8" s="1"/>
  <c r="L16" i="8"/>
  <c r="N16" i="8" s="1"/>
  <c r="O176" i="15"/>
  <c r="L176" i="15"/>
  <c r="L147" i="15"/>
  <c r="O147" i="15"/>
  <c r="L112" i="15"/>
  <c r="O112" i="15"/>
  <c r="O84" i="15"/>
  <c r="L84" i="15"/>
  <c r="L70" i="15"/>
  <c r="O70" i="15"/>
  <c r="L59" i="15"/>
  <c r="O99" i="15"/>
  <c r="O38" i="15"/>
  <c r="L164" i="15"/>
  <c r="O164" i="15"/>
  <c r="L154" i="15"/>
  <c r="O154" i="15"/>
  <c r="L178" i="15"/>
  <c r="O178" i="15"/>
  <c r="L135" i="15"/>
  <c r="O135" i="15"/>
  <c r="L56" i="15"/>
  <c r="O56" i="15"/>
  <c r="O167" i="15"/>
  <c r="O153" i="15"/>
  <c r="O82" i="15"/>
  <c r="O188" i="15"/>
  <c r="L188" i="15"/>
  <c r="O175" i="15"/>
  <c r="O157" i="15"/>
  <c r="L136" i="15"/>
  <c r="L107" i="15"/>
  <c r="L75" i="15"/>
  <c r="O57" i="15"/>
  <c r="O35" i="15"/>
  <c r="L52" i="15"/>
  <c r="O171" i="15"/>
  <c r="O101" i="15"/>
  <c r="O96" i="15"/>
  <c r="O91" i="15"/>
  <c r="O79" i="15"/>
  <c r="O72" i="15"/>
  <c r="O58" i="15"/>
  <c r="O49" i="15"/>
  <c r="L162" i="15"/>
  <c r="O174" i="15"/>
  <c r="O159" i="15"/>
  <c r="O142" i="15"/>
  <c r="O89" i="15"/>
  <c r="O77" i="15"/>
  <c r="O121" i="15"/>
  <c r="O113" i="15"/>
  <c r="J59" i="15"/>
  <c r="O59" i="15" s="1"/>
  <c r="O42" i="15"/>
  <c r="L57" i="15"/>
  <c r="L78" i="15"/>
  <c r="L119" i="15"/>
  <c r="O172" i="15"/>
  <c r="O111" i="15"/>
  <c r="O104" i="15"/>
  <c r="O87" i="15"/>
  <c r="L148" i="15"/>
  <c r="L116" i="15"/>
  <c r="L103" i="15"/>
  <c r="L90" i="15"/>
  <c r="L94" i="15"/>
  <c r="L99" i="15"/>
  <c r="L109" i="15"/>
  <c r="L129" i="15"/>
  <c r="L38" i="15"/>
  <c r="L125" i="15"/>
  <c r="L163" i="15"/>
  <c r="L173" i="15"/>
  <c r="L177" i="15"/>
  <c r="O170" i="15"/>
  <c r="O165" i="15"/>
  <c r="O102" i="15"/>
  <c r="O85" i="15"/>
  <c r="O45" i="15"/>
  <c r="O40" i="15"/>
  <c r="J34" i="15"/>
  <c r="O34" i="15" s="1"/>
  <c r="L187" i="15"/>
  <c r="L65" i="15"/>
  <c r="O115" i="15"/>
  <c r="O108" i="15"/>
  <c r="O60" i="15"/>
  <c r="O39" i="15"/>
  <c r="L110" i="15"/>
  <c r="L167" i="15"/>
  <c r="O133" i="15"/>
  <c r="O118" i="15"/>
  <c r="O37" i="15"/>
  <c r="L128" i="15"/>
  <c r="L137" i="15"/>
  <c r="O145" i="15"/>
  <c r="O54" i="15"/>
  <c r="L50" i="15"/>
  <c r="L134" i="15"/>
  <c r="L106" i="15"/>
  <c r="O10" i="15"/>
  <c r="L47" i="15"/>
  <c r="L92" i="15"/>
  <c r="L35" i="15"/>
  <c r="O136" i="15"/>
  <c r="O107" i="15"/>
  <c r="O55" i="15"/>
  <c r="O48" i="15"/>
  <c r="O130" i="15"/>
  <c r="L169" i="15"/>
  <c r="L97" i="15"/>
  <c r="O184" i="15"/>
  <c r="O75" i="15"/>
  <c r="L43" i="15"/>
  <c r="L53" i="15"/>
  <c r="N143" i="10"/>
  <c r="N161" i="10"/>
  <c r="N153" i="10"/>
  <c r="N132" i="10"/>
  <c r="N139" i="10"/>
  <c r="N156" i="10"/>
  <c r="N20" i="10"/>
  <c r="N23" i="10"/>
  <c r="L166" i="10"/>
  <c r="L61" i="10"/>
  <c r="L114" i="10"/>
  <c r="N98" i="10"/>
  <c r="L122" i="10"/>
  <c r="N165" i="10"/>
  <c r="N24" i="10"/>
  <c r="L17" i="10"/>
  <c r="N123" i="10"/>
  <c r="N22" i="10"/>
  <c r="N110" i="10"/>
  <c r="N102" i="10"/>
  <c r="L94" i="10"/>
  <c r="N78" i="10"/>
  <c r="L70" i="10"/>
  <c r="N62" i="10"/>
  <c r="N10" i="10"/>
  <c r="N149" i="10"/>
  <c r="N172" i="10"/>
  <c r="L153" i="10"/>
  <c r="L165" i="10"/>
  <c r="N173" i="10"/>
  <c r="L20" i="10"/>
  <c r="L90" i="10"/>
  <c r="N154" i="10"/>
  <c r="N147" i="10"/>
  <c r="N114" i="10"/>
  <c r="L111" i="10"/>
  <c r="N87" i="10"/>
  <c r="L55" i="10"/>
  <c r="L47" i="10"/>
  <c r="L156" i="10"/>
  <c r="N175" i="10"/>
  <c r="L167" i="10"/>
  <c r="N26" i="10"/>
  <c r="L52" i="10"/>
  <c r="N152" i="10"/>
  <c r="N150" i="10"/>
  <c r="L107" i="10"/>
  <c r="N48" i="10"/>
  <c r="L134" i="10"/>
  <c r="L119" i="10"/>
  <c r="N121" i="10"/>
  <c r="L100" i="10"/>
  <c r="L60" i="10"/>
  <c r="N136" i="10"/>
  <c r="N133" i="10"/>
  <c r="L149" i="10"/>
  <c r="L11" i="10"/>
  <c r="N151" i="10"/>
  <c r="L148" i="10"/>
  <c r="N115" i="10"/>
  <c r="L155" i="10"/>
  <c r="L159" i="10"/>
  <c r="L161" i="10"/>
  <c r="L21" i="10"/>
  <c r="L28" i="10"/>
  <c r="Q137" i="13"/>
  <c r="N22" i="13" s="1"/>
  <c r="A4" i="13" s="1"/>
  <c r="C5" i="5" s="1"/>
  <c r="N6" i="13"/>
  <c r="L24" i="10"/>
  <c r="L23" i="10"/>
  <c r="L19" i="10"/>
  <c r="L18" i="8"/>
  <c r="N18" i="8" s="1"/>
  <c r="L285" i="8"/>
  <c r="N285" i="8" s="1"/>
  <c r="L14" i="8"/>
  <c r="N14" i="8" s="1"/>
  <c r="L174" i="8"/>
  <c r="N174" i="8" s="1"/>
  <c r="L245" i="8"/>
  <c r="N245" i="8" s="1"/>
  <c r="L135" i="8"/>
  <c r="N135" i="8" s="1"/>
  <c r="L264" i="8"/>
  <c r="N264" i="8" s="1"/>
  <c r="L229" i="8"/>
  <c r="N229" i="8" s="1"/>
  <c r="L197" i="8"/>
  <c r="N197" i="8" s="1"/>
  <c r="L224" i="8"/>
  <c r="N224" i="8" s="1"/>
  <c r="L198" i="8"/>
  <c r="N198" i="8" s="1"/>
  <c r="L192" i="8"/>
  <c r="N192" i="8" s="1"/>
  <c r="L166" i="8"/>
  <c r="N166" i="8" s="1"/>
  <c r="L128" i="8"/>
  <c r="N128" i="8" s="1"/>
  <c r="L273" i="8"/>
  <c r="N273" i="8" s="1"/>
  <c r="L238" i="8"/>
  <c r="N238" i="8" s="1"/>
  <c r="L150" i="8"/>
  <c r="N150" i="8" s="1"/>
  <c r="L232" i="8"/>
  <c r="N232" i="8" s="1"/>
  <c r="L221" i="8"/>
  <c r="N221" i="8" s="1"/>
  <c r="L189" i="8"/>
  <c r="N189" i="8" s="1"/>
  <c r="L157" i="8"/>
  <c r="N157" i="8" s="1"/>
  <c r="L151" i="8"/>
  <c r="N151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121" i="8"/>
  <c r="N121" i="8" s="1"/>
  <c r="L113" i="8"/>
  <c r="N113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256" i="8"/>
  <c r="N256" i="8" s="1"/>
  <c r="L279" i="8"/>
  <c r="N279" i="8" s="1"/>
  <c r="L249" i="8"/>
  <c r="N249" i="8" s="1"/>
  <c r="L181" i="8"/>
  <c r="N181" i="8" s="1"/>
  <c r="L149" i="8"/>
  <c r="N149" i="8" s="1"/>
  <c r="L246" i="8"/>
  <c r="N246" i="8" s="1"/>
  <c r="L240" i="8"/>
  <c r="N240" i="8" s="1"/>
  <c r="L216" i="8"/>
  <c r="N216" i="8" s="1"/>
  <c r="L190" i="8"/>
  <c r="N190" i="8" s="1"/>
  <c r="L70" i="8"/>
  <c r="N7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66" i="8"/>
  <c r="N66" i="8" s="1"/>
  <c r="L58" i="8"/>
  <c r="N58" i="8" s="1"/>
  <c r="L50" i="8"/>
  <c r="N50" i="8" s="1"/>
  <c r="L280" i="8"/>
  <c r="N280" i="8" s="1"/>
  <c r="L213" i="8"/>
  <c r="N213" i="8" s="1"/>
  <c r="L231" i="8"/>
  <c r="N231" i="8" s="1"/>
  <c r="L247" i="8"/>
  <c r="N247" i="8" s="1"/>
  <c r="L191" i="8"/>
  <c r="N191" i="8" s="1"/>
  <c r="L165" i="8"/>
  <c r="N165" i="8" s="1"/>
  <c r="L133" i="8"/>
  <c r="N133" i="8" s="1"/>
  <c r="L17" i="8"/>
  <c r="N17" i="8" s="1"/>
  <c r="L284" i="8"/>
  <c r="N284" i="8" s="1"/>
  <c r="L58" i="12"/>
  <c r="N58" i="12" s="1"/>
  <c r="L56" i="12"/>
  <c r="N56" i="12" s="1"/>
  <c r="L34" i="12"/>
  <c r="N34" i="12" s="1"/>
  <c r="L23" i="12"/>
  <c r="N23" i="12" s="1"/>
  <c r="L14" i="12"/>
  <c r="N14" i="12" s="1"/>
  <c r="N120" i="10"/>
  <c r="N111" i="10"/>
  <c r="N103" i="10"/>
  <c r="L95" i="10"/>
  <c r="L87" i="10"/>
  <c r="L79" i="10"/>
  <c r="N71" i="10"/>
  <c r="N63" i="10"/>
  <c r="N55" i="10"/>
  <c r="N47" i="10"/>
  <c r="L163" i="10"/>
  <c r="L18" i="10"/>
  <c r="N171" i="10"/>
  <c r="N11" i="10"/>
  <c r="N144" i="10"/>
  <c r="L125" i="10"/>
  <c r="L132" i="10"/>
  <c r="N112" i="10"/>
  <c r="L104" i="10"/>
  <c r="N96" i="10"/>
  <c r="N88" i="10"/>
  <c r="L80" i="10"/>
  <c r="N72" i="10"/>
  <c r="L64" i="10"/>
  <c r="N56" i="10"/>
  <c r="L110" i="10"/>
  <c r="N86" i="10"/>
  <c r="L78" i="10"/>
  <c r="N70" i="10"/>
  <c r="L62" i="10"/>
  <c r="L54" i="10"/>
  <c r="N137" i="10"/>
  <c r="L123" i="10"/>
  <c r="L118" i="10"/>
  <c r="L141" i="10"/>
  <c r="N157" i="10"/>
  <c r="N126" i="10"/>
  <c r="L22" i="10"/>
  <c r="N176" i="10"/>
  <c r="N27" i="10"/>
  <c r="L174" i="10"/>
  <c r="N94" i="10"/>
  <c r="N159" i="10"/>
  <c r="N66" i="10"/>
  <c r="N82" i="10"/>
  <c r="L145" i="10"/>
  <c r="N168" i="10"/>
  <c r="L113" i="10"/>
  <c r="N105" i="10"/>
  <c r="L97" i="10"/>
  <c r="L89" i="10"/>
  <c r="L81" i="10"/>
  <c r="L73" i="10"/>
  <c r="L49" i="10"/>
  <c r="L130" i="10"/>
  <c r="N155" i="10"/>
  <c r="L150" i="10"/>
  <c r="N135" i="10"/>
  <c r="N167" i="10"/>
  <c r="N58" i="10"/>
  <c r="L108" i="10"/>
  <c r="N100" i="10"/>
  <c r="L92" i="10"/>
  <c r="N84" i="10"/>
  <c r="N76" i="10"/>
  <c r="L68" i="10"/>
  <c r="N60" i="10"/>
  <c r="N52" i="10"/>
  <c r="L106" i="10"/>
  <c r="L98" i="10"/>
  <c r="L74" i="10"/>
  <c r="N50" i="10"/>
  <c r="N140" i="10"/>
  <c r="L162" i="10"/>
  <c r="N19" i="10"/>
  <c r="N116" i="10"/>
  <c r="N131" i="10"/>
  <c r="L102" i="10"/>
  <c r="L147" i="10"/>
  <c r="L133" i="10"/>
  <c r="N134" i="10"/>
  <c r="N109" i="10"/>
  <c r="N101" i="10"/>
  <c r="L93" i="10"/>
  <c r="L85" i="10"/>
  <c r="L77" i="10"/>
  <c r="N69" i="10"/>
  <c r="N61" i="10"/>
  <c r="L53" i="10"/>
  <c r="N122" i="10"/>
  <c r="N128" i="10"/>
  <c r="L158" i="10"/>
  <c r="L164" i="10"/>
  <c r="N166" i="10"/>
  <c r="L173" i="10"/>
  <c r="N28" i="10"/>
  <c r="L59" i="10"/>
  <c r="N145" i="10"/>
  <c r="N91" i="10"/>
  <c r="N79" i="10"/>
  <c r="N67" i="10"/>
  <c r="L168" i="10"/>
  <c r="N129" i="10"/>
  <c r="N170" i="10"/>
  <c r="L172" i="10"/>
  <c r="L48" i="10"/>
  <c r="L72" i="10"/>
  <c r="N125" i="10"/>
  <c r="N119" i="10"/>
  <c r="N104" i="10"/>
  <c r="N92" i="10"/>
  <c r="N80" i="10"/>
  <c r="N68" i="10"/>
  <c r="N127" i="10"/>
  <c r="L160" i="10"/>
  <c r="N162" i="10"/>
  <c r="L176" i="10"/>
  <c r="L25" i="10"/>
  <c r="L26" i="10"/>
  <c r="L120" i="10"/>
  <c r="N54" i="10"/>
  <c r="L137" i="10"/>
  <c r="L71" i="10"/>
  <c r="L88" i="10"/>
  <c r="N118" i="10"/>
  <c r="N158" i="10"/>
  <c r="N21" i="10"/>
  <c r="L101" i="10"/>
  <c r="L65" i="10"/>
  <c r="L136" i="10"/>
  <c r="L112" i="10"/>
  <c r="L76" i="10"/>
  <c r="L144" i="10"/>
  <c r="L154" i="10"/>
  <c r="L86" i="10"/>
  <c r="L151" i="10"/>
  <c r="N148" i="10"/>
  <c r="N113" i="10"/>
  <c r="N93" i="10"/>
  <c r="N85" i="10"/>
  <c r="N81" i="10"/>
  <c r="N77" i="10"/>
  <c r="N57" i="10"/>
  <c r="N53" i="10"/>
  <c r="N49" i="10"/>
  <c r="L115" i="10"/>
  <c r="N99" i="10"/>
  <c r="N83" i="10"/>
  <c r="L169" i="10"/>
  <c r="N51" i="10"/>
  <c r="N124" i="10"/>
  <c r="L63" i="10"/>
  <c r="L117" i="10"/>
  <c r="L84" i="10"/>
  <c r="N141" i="10"/>
  <c r="N16" i="10"/>
  <c r="N174" i="10"/>
  <c r="L103" i="10"/>
  <c r="N95" i="10"/>
  <c r="N75" i="10"/>
  <c r="L131" i="10"/>
  <c r="N164" i="10"/>
  <c r="N108" i="10"/>
  <c r="N64" i="10"/>
  <c r="N106" i="10"/>
  <c r="A4" i="14"/>
  <c r="C13" i="5" s="1"/>
  <c r="N341" i="12" l="1"/>
  <c r="K69" i="12" s="1"/>
  <c r="N300" i="8"/>
  <c r="K29" i="8" s="1"/>
  <c r="O200" i="15"/>
  <c r="L34" i="15"/>
  <c r="N180" i="10"/>
  <c r="K42" i="10" s="1"/>
  <c r="N24" i="8"/>
  <c r="K6" i="8" s="1"/>
  <c r="N64" i="12"/>
  <c r="K6" i="12" s="1"/>
  <c r="N37" i="10"/>
  <c r="K6" i="10" s="1"/>
  <c r="A4" i="12" l="1"/>
  <c r="C9" i="5" s="1"/>
  <c r="A4" i="8"/>
  <c r="C7" i="5" s="1"/>
  <c r="L27" i="15"/>
  <c r="A4" i="15"/>
  <c r="C15" i="5" s="1"/>
  <c r="A4" i="10"/>
  <c r="C11" i="5" s="1"/>
  <c r="C3" i="5" l="1"/>
</calcChain>
</file>

<file path=xl/sharedStrings.xml><?xml version="1.0" encoding="utf-8"?>
<sst xmlns="http://schemas.openxmlformats.org/spreadsheetml/2006/main" count="4137" uniqueCount="1494">
  <si>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</si>
  <si>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</si>
  <si>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</si>
  <si>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</si>
  <si>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</si>
  <si>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</si>
  <si>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</si>
  <si>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</si>
  <si>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</si>
  <si>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</si>
  <si>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</si>
  <si>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</si>
  <si>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</si>
  <si>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</si>
  <si>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</si>
  <si>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</si>
  <si>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</si>
  <si>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</si>
  <si>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</si>
  <si>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</si>
  <si>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</si>
  <si>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</si>
  <si>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</si>
  <si>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</si>
  <si>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</si>
  <si>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</si>
  <si>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</si>
  <si>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</si>
  <si>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</si>
  <si>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</si>
  <si>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</si>
  <si>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</si>
  <si>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</si>
  <si>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</si>
  <si>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</si>
  <si>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</si>
  <si>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</si>
  <si>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</si>
  <si>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</si>
  <si>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</si>
  <si>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</si>
  <si>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</si>
  <si>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</si>
  <si>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</si>
  <si>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</si>
  <si>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</si>
  <si>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</si>
  <si>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</si>
  <si>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</si>
  <si>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</si>
  <si>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</si>
  <si>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</si>
  <si>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</si>
  <si>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</si>
  <si>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</si>
  <si>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</si>
  <si>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</si>
  <si>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</si>
  <si>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</si>
  <si>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</si>
  <si>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</si>
  <si>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</si>
  <si>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</si>
  <si>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</si>
  <si>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</si>
  <si>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</si>
  <si>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</si>
  <si>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</si>
  <si>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</si>
  <si>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</si>
  <si>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</si>
  <si>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</si>
  <si>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</si>
  <si>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</si>
  <si>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</si>
  <si>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</si>
  <si>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</si>
  <si>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</si>
  <si>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</si>
  <si>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</si>
  <si>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</si>
  <si>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</si>
  <si>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</si>
  <si>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</si>
  <si>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</si>
  <si>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</si>
  <si>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</si>
  <si>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</si>
  <si>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</si>
  <si>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</si>
  <si>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</si>
  <si>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</si>
  <si>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</si>
  <si>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</si>
  <si>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</si>
  <si>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</si>
  <si>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</si>
  <si>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</si>
  <si>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</si>
  <si>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</si>
  <si>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</si>
  <si>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</si>
  <si>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</si>
  <si>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</si>
  <si>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</si>
  <si>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</si>
  <si>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</si>
  <si>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</si>
  <si>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</si>
  <si>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</si>
  <si>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</si>
  <si>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</si>
  <si>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</si>
  <si>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</si>
  <si>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</si>
  <si>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</si>
  <si>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</si>
  <si>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</si>
  <si>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</si>
  <si>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</si>
  <si>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</si>
  <si>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</si>
  <si>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</si>
  <si>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</si>
  <si>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</si>
  <si>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</si>
  <si>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</si>
  <si>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</si>
  <si>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</si>
  <si>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</si>
  <si>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</si>
  <si>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</si>
  <si>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</si>
  <si>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</si>
  <si>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</si>
  <si>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</si>
  <si>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</si>
  <si>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</si>
  <si>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</si>
  <si>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</si>
  <si>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</si>
  <si>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</si>
  <si>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</si>
  <si>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</si>
  <si>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</si>
  <si>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</si>
  <si>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</si>
  <si>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</si>
  <si>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</si>
  <si>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</si>
  <si>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</si>
  <si>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</si>
  <si>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</si>
  <si>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</si>
  <si>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</si>
  <si>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</si>
  <si>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</si>
  <si>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</si>
  <si>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</si>
  <si>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</si>
  <si>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</si>
  <si>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</si>
  <si>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</si>
  <si>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</si>
  <si>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</si>
  <si>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</si>
  <si>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</si>
  <si>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</si>
  <si>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</si>
  <si>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</si>
  <si>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</si>
  <si>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</si>
  <si>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</si>
  <si>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</si>
  <si>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</si>
  <si>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</si>
  <si>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</si>
  <si>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</si>
  <si>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</si>
  <si>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</si>
  <si>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</si>
  <si>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</si>
  <si>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</si>
  <si>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</si>
  <si>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</si>
  <si>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</si>
  <si>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</si>
  <si>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</si>
  <si>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</si>
  <si>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</si>
  <si>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</si>
  <si>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</si>
  <si>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</si>
  <si>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</si>
  <si>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</si>
  <si>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</si>
  <si>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</si>
  <si>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</si>
  <si>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</si>
  <si>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</si>
  <si>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</si>
  <si>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</si>
  <si>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</si>
  <si>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</si>
  <si>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</si>
  <si>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</si>
  <si>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</si>
  <si>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</si>
  <si>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</si>
  <si>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</si>
  <si>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</si>
  <si>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</si>
  <si>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</si>
  <si>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</si>
  <si>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</si>
  <si>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</si>
  <si>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</si>
  <si>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</si>
  <si>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</si>
  <si>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</si>
  <si>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</si>
  <si>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</si>
  <si>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</si>
  <si>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</si>
  <si>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</si>
  <si>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</si>
  <si>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</si>
  <si>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</si>
  <si>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</si>
  <si>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</si>
  <si>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</si>
  <si>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</si>
  <si>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</si>
  <si>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</si>
  <si>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</si>
  <si>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</si>
  <si>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</si>
  <si>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</si>
  <si>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</si>
  <si>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</si>
  <si>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</si>
  <si>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</si>
  <si>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</si>
  <si>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</si>
  <si>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</si>
  <si>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</si>
  <si>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</si>
  <si>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</si>
  <si>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</si>
  <si>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</si>
  <si>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</si>
  <si>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</si>
  <si>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</si>
  <si>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</si>
  <si>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</si>
  <si>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</si>
  <si>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</si>
  <si>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</si>
  <si>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</si>
  <si>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</si>
  <si>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</si>
  <si>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</si>
  <si>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</si>
  <si>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</si>
  <si>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</si>
  <si>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</si>
  <si>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</si>
  <si>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</si>
  <si>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</si>
  <si>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</si>
  <si>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</si>
  <si>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</si>
  <si>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</si>
  <si>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</si>
  <si>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</si>
  <si>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</si>
  <si>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</si>
  <si>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</si>
  <si>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</si>
  <si>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</si>
  <si>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</si>
  <si>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</si>
  <si>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</si>
  <si>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</si>
  <si>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</si>
  <si>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</si>
  <si>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</si>
  <si>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</si>
  <si>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</si>
  <si>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</si>
  <si>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</si>
  <si>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</si>
  <si>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</si>
  <si>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</si>
  <si>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</si>
  <si>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</si>
  <si>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</si>
  <si>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</si>
  <si>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</si>
  <si>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</si>
  <si>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</si>
  <si>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</si>
  <si>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</si>
  <si>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</si>
  <si>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</si>
  <si>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</si>
  <si>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</si>
  <si>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</si>
  <si>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</si>
  <si>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</si>
  <si>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</si>
  <si>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</si>
  <si>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</si>
  <si>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</si>
  <si>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</si>
  <si>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</si>
  <si>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</si>
  <si>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</si>
  <si>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</si>
  <si>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</si>
  <si>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</si>
  <si>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</si>
  <si>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</si>
  <si>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</si>
  <si>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</si>
  <si>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</si>
  <si>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</si>
  <si>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</si>
  <si>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</si>
  <si>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</si>
  <si>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</si>
  <si>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</si>
  <si>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</si>
  <si>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</si>
  <si>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</si>
  <si>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</si>
  <si>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</si>
  <si>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</si>
  <si>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</si>
  <si>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</si>
  <si>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</si>
  <si>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</si>
  <si>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</si>
  <si>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</si>
  <si>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</si>
  <si>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</si>
  <si>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</si>
  <si>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</si>
  <si>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</si>
  <si>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</si>
  <si>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</si>
  <si>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</si>
  <si>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</si>
  <si>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</si>
  <si>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</si>
  <si>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</si>
  <si>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</si>
  <si>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</si>
  <si>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</si>
  <si>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</si>
  <si>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</si>
  <si>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</si>
  <si>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</si>
  <si>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</si>
  <si>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</si>
  <si>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</si>
  <si>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</si>
  <si>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</si>
  <si>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</si>
  <si>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</si>
  <si>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</si>
  <si>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</si>
  <si>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</si>
  <si>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</si>
  <si>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</si>
  <si>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</si>
  <si>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</si>
  <si>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</si>
  <si>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</si>
  <si>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</si>
  <si>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</si>
  <si>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</si>
  <si>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</si>
  <si>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</si>
  <si>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</si>
  <si>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</si>
  <si>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</si>
  <si>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</si>
  <si>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</si>
  <si>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</si>
  <si>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</si>
  <si>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</si>
  <si>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</si>
  <si>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</si>
  <si>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</si>
  <si>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</si>
  <si>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</si>
  <si>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</si>
  <si>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</si>
  <si>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</si>
  <si>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</si>
  <si>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</si>
  <si>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</si>
  <si>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</si>
  <si>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</si>
  <si>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</si>
  <si>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</si>
  <si>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</si>
  <si>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</si>
  <si>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</si>
  <si>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</si>
  <si>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</si>
  <si>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</si>
  <si>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</si>
  <si>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</si>
  <si>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</si>
  <si>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</si>
  <si>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</si>
  <si>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</si>
  <si>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</si>
  <si>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</si>
  <si>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</si>
  <si>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</si>
  <si>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</si>
  <si>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</si>
  <si>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</si>
  <si>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</si>
  <si>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</si>
  <si>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</si>
  <si>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</si>
  <si>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</si>
  <si>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</si>
  <si>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</si>
  <si>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</si>
  <si>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</si>
  <si>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</si>
  <si>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</si>
  <si>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</si>
  <si>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</si>
  <si>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</si>
  <si>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</si>
  <si>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</si>
  <si>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</si>
  <si>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</si>
  <si>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</si>
  <si>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</si>
  <si>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</si>
  <si>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</si>
  <si>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</si>
  <si>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</si>
  <si>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</si>
  <si>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</si>
  <si>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</si>
  <si>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</si>
  <si>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</si>
  <si>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</si>
  <si>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</si>
  <si>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</si>
  <si>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</si>
  <si>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</si>
  <si>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</si>
  <si>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</si>
  <si>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</si>
  <si>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</si>
  <si>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</si>
  <si>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</si>
  <si>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</si>
  <si>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</si>
  <si>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</si>
  <si>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</si>
  <si>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</si>
  <si>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</si>
  <si>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</si>
  <si>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</si>
  <si>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</si>
  <si>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</si>
  <si>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</si>
  <si>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</si>
  <si>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</si>
  <si>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</si>
  <si>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</si>
  <si>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</si>
  <si>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</si>
  <si>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</si>
  <si>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</si>
  <si>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</si>
  <si>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</si>
  <si>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</si>
  <si>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</si>
  <si>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</si>
  <si>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</si>
  <si>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</si>
  <si>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</si>
  <si>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</si>
  <si>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</si>
  <si>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</si>
  <si>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</si>
  <si>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</si>
  <si>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</si>
  <si>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</si>
  <si>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</si>
  <si>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</si>
  <si>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</si>
  <si>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</si>
  <si>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</si>
  <si>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</si>
  <si>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</si>
  <si>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</si>
  <si>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</si>
  <si>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</si>
  <si>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</si>
  <si>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</si>
  <si>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</si>
  <si>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</si>
  <si>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</si>
  <si>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</si>
  <si>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</si>
  <si>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</si>
  <si>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</si>
  <si>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</si>
  <si>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</si>
  <si>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</si>
  <si>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</si>
  <si>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</si>
  <si>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</si>
  <si>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</si>
  <si>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</si>
  <si>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</si>
  <si>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</si>
  <si>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</si>
  <si>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</si>
  <si>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</si>
  <si>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</si>
  <si>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</si>
  <si>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</si>
  <si>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</si>
  <si>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</si>
  <si>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</si>
  <si>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</si>
  <si>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</si>
  <si>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</si>
  <si>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</si>
  <si>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</si>
  <si>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</si>
  <si>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</si>
  <si>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</si>
  <si>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</si>
  <si>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</si>
  <si>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</si>
  <si>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</si>
  <si>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</si>
  <si>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</si>
  <si>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</si>
  <si>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</si>
  <si>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</si>
  <si>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</si>
  <si>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</si>
  <si>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</si>
  <si>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</si>
  <si>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</si>
  <si>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</si>
  <si>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</si>
  <si>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</si>
  <si>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</si>
  <si>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</si>
  <si>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</si>
  <si>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</si>
  <si>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</si>
  <si>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</si>
  <si>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</si>
  <si>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</si>
  <si>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</si>
  <si>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</si>
  <si>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</si>
  <si>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</si>
  <si>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</si>
  <si>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</si>
  <si>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</si>
  <si>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</si>
  <si>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</si>
  <si>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</si>
  <si>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</si>
  <si>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</si>
  <si>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</si>
  <si>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</si>
  <si>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</si>
  <si>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</si>
  <si>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</si>
  <si>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</si>
  <si>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</si>
  <si>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</si>
  <si>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</si>
  <si>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</si>
  <si>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</si>
  <si>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</si>
  <si>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</si>
  <si>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</si>
  <si>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</si>
  <si>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</si>
  <si>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</si>
  <si>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</si>
  <si>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</si>
  <si>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</si>
  <si>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</si>
  <si>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</si>
  <si>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</si>
  <si>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</si>
  <si>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</si>
  <si>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</si>
  <si>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</si>
  <si>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</si>
  <si>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</si>
  <si>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</si>
  <si>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</si>
  <si>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</si>
  <si>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</si>
  <si>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</si>
  <si>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</si>
  <si>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</si>
  <si>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</si>
  <si>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</si>
  <si>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</si>
  <si>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</si>
  <si>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</si>
  <si>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</si>
  <si>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</si>
  <si>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</si>
  <si>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</si>
  <si>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</si>
  <si>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</si>
  <si>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</si>
  <si>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</si>
  <si>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</si>
  <si>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</si>
  <si>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</si>
  <si>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</si>
  <si>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</si>
  <si>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</si>
  <si>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</si>
  <si>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</si>
  <si>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</si>
  <si>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</si>
  <si>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</si>
  <si>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</si>
  <si>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</si>
  <si>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</si>
  <si>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</si>
  <si>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</si>
  <si>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</si>
  <si>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</si>
  <si>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</si>
  <si>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</si>
  <si>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</si>
  <si>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</si>
  <si>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</si>
  <si>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</si>
  <si>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</si>
  <si>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</si>
  <si>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</si>
  <si>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</si>
  <si>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</si>
  <si>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</si>
  <si>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</si>
  <si>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</si>
  <si>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</si>
  <si>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</si>
  <si>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</si>
  <si>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</si>
  <si>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</si>
  <si>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</si>
  <si>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</si>
  <si>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</si>
  <si>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</si>
  <si>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</si>
  <si>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</si>
  <si>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</si>
  <si>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</si>
  <si>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</si>
  <si>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</si>
  <si>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</si>
  <si>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</si>
  <si>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</si>
  <si>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</si>
  <si>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</si>
  <si>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</si>
  <si>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</si>
  <si>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</si>
  <si>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</si>
  <si>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</si>
  <si>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</si>
  <si>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</si>
  <si>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</si>
  <si>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</si>
  <si>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</si>
  <si>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</si>
  <si>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</si>
  <si>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</si>
  <si>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</si>
  <si>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</si>
  <si>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</si>
  <si>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</si>
  <si>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</si>
  <si>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</si>
  <si>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</si>
  <si>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</si>
  <si>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</si>
  <si>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</si>
  <si>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</si>
  <si>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</si>
  <si>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</si>
  <si>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</si>
  <si>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</si>
  <si>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</si>
  <si>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</si>
  <si>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</si>
  <si>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</si>
  <si>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</si>
  <si>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</si>
  <si>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</si>
  <si>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</si>
  <si>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</si>
  <si>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</si>
  <si>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</si>
  <si>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</si>
  <si>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</si>
  <si>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</si>
  <si>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</si>
  <si>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</si>
  <si>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</si>
  <si>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</si>
  <si>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</si>
  <si>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</si>
  <si>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</si>
  <si>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</si>
  <si>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</si>
  <si>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</si>
  <si>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</si>
  <si>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</si>
  <si>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</si>
  <si>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</si>
  <si>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</si>
  <si>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</si>
  <si>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</si>
  <si>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</si>
  <si>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</si>
  <si>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</si>
  <si>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</si>
  <si>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</si>
  <si>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</si>
  <si>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</si>
  <si>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</si>
  <si>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</si>
  <si>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</si>
  <si>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</si>
  <si>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</si>
  <si>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</si>
  <si>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</si>
  <si>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</si>
  <si>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</si>
  <si>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</si>
  <si>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</si>
  <si>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</si>
  <si>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</si>
  <si>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</si>
  <si>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</si>
  <si>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</si>
  <si>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</si>
  <si>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</si>
  <si>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</si>
  <si>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</si>
  <si>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</si>
  <si>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</si>
  <si>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</si>
  <si>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</si>
  <si>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</si>
  <si>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</si>
  <si>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</si>
  <si>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</si>
  <si>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</si>
  <si>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</si>
  <si>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</si>
  <si>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</si>
  <si>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</si>
  <si>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</si>
  <si>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</si>
  <si>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</si>
  <si>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</si>
  <si>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</si>
  <si>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</si>
  <si>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</si>
  <si>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</si>
  <si>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</si>
  <si>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</si>
  <si>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</si>
  <si>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</si>
  <si>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</si>
  <si>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</si>
  <si>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</si>
  <si>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</si>
  <si>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</si>
  <si>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</si>
  <si>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</si>
  <si>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</si>
  <si>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</si>
  <si>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</si>
  <si>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</si>
  <si>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</si>
  <si>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</si>
  <si>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</si>
  <si>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</si>
  <si>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</si>
  <si>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</si>
  <si>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</si>
  <si>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</si>
  <si>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</si>
  <si>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</si>
  <si>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</si>
  <si>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</si>
  <si>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</si>
  <si>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</si>
  <si>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</si>
  <si>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</si>
  <si>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</si>
  <si>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</si>
  <si>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</si>
  <si>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</si>
  <si>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</si>
  <si>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</si>
  <si>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</si>
  <si>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</si>
  <si>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</si>
  <si>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</si>
  <si>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</si>
  <si>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</si>
  <si>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</si>
  <si>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</si>
  <si>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</si>
  <si>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</si>
  <si>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</si>
  <si>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</si>
  <si>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</si>
  <si>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</si>
  <si>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</si>
  <si>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</si>
  <si>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</si>
  <si>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</si>
  <si>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</si>
  <si>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</si>
  <si>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</si>
  <si>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</si>
  <si>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</si>
  <si>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</si>
  <si>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</si>
  <si>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</si>
  <si>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</si>
  <si>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</si>
  <si>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</si>
  <si>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</si>
  <si>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</si>
  <si>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</si>
  <si>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</si>
  <si>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</si>
  <si>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</si>
  <si>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</si>
  <si>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</si>
  <si>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</si>
  <si>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</si>
  <si>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</si>
  <si>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</si>
  <si>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</si>
  <si>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</si>
  <si>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</si>
  <si>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</si>
  <si>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</si>
  <si>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</si>
  <si>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</si>
  <si>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</si>
  <si>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</si>
  <si>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</si>
  <si>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</si>
  <si>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</si>
  <si>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</si>
  <si>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</si>
  <si>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</si>
  <si>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</si>
  <si>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</si>
  <si>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</si>
  <si>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</si>
  <si>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</si>
  <si>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</si>
  <si>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</si>
  <si>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</si>
  <si>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</si>
  <si>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</si>
  <si>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</si>
  <si>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</si>
  <si>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</si>
  <si>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</si>
  <si>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</si>
  <si>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</si>
  <si>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</si>
  <si>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</si>
  <si>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</si>
  <si>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</si>
  <si>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</si>
  <si>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</si>
  <si>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</si>
  <si>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</si>
  <si>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</si>
  <si>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</si>
  <si>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</si>
  <si>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</si>
  <si>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</si>
  <si>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</si>
  <si>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</si>
  <si>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</si>
  <si>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</si>
  <si>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</si>
  <si>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</si>
  <si>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</si>
  <si>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</si>
  <si>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</si>
  <si>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</si>
  <si>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</si>
  <si>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</si>
  <si>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</si>
  <si>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</si>
  <si>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</si>
  <si>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</si>
  <si>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</si>
  <si>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</si>
  <si>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</si>
  <si>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</si>
  <si>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</si>
  <si>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</si>
  <si>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</si>
  <si>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</si>
  <si>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</si>
  <si>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</si>
  <si>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</si>
  <si>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</si>
  <si>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</si>
  <si>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</si>
  <si>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</si>
  <si>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</si>
  <si>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</si>
  <si>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</si>
  <si>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</si>
  <si>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</si>
  <si>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</si>
  <si>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</si>
  <si>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</si>
  <si>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</si>
  <si>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</si>
  <si>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</si>
  <si>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</si>
  <si>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</si>
  <si>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</si>
  <si>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</si>
  <si>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</si>
  <si>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</si>
  <si>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</si>
  <si>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</si>
  <si>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</si>
  <si>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</si>
  <si>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</si>
  <si>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</si>
  <si>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</si>
  <si>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</si>
  <si>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</si>
  <si>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</si>
  <si>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</si>
  <si>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</si>
  <si>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</si>
  <si>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</si>
  <si>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</si>
  <si>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</si>
  <si>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</si>
  <si>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</si>
  <si>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</si>
  <si>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</si>
  <si>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</si>
  <si>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</si>
  <si>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</si>
  <si>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</si>
  <si>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</si>
  <si>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</si>
  <si>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</si>
  <si>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</si>
  <si>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</si>
  <si>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</si>
  <si>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</si>
  <si>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</si>
  <si>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</si>
  <si>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</si>
  <si>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</si>
  <si>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</si>
  <si>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</si>
  <si>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</si>
  <si>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</si>
  <si>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</si>
  <si>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</si>
  <si>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</si>
  <si>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</si>
  <si>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</si>
  <si>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</si>
  <si>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</si>
  <si>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</si>
  <si>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</si>
  <si>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</si>
  <si>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</si>
  <si>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</si>
  <si>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</si>
  <si>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</si>
  <si>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</si>
  <si>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</si>
  <si>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</si>
  <si>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</si>
  <si>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</si>
  <si>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</si>
  <si>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</si>
  <si>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</si>
  <si>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</si>
  <si>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</si>
  <si>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</si>
  <si>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</si>
  <si>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</si>
  <si>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</si>
  <si>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</si>
  <si>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</si>
  <si>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</si>
  <si>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</si>
  <si>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</si>
  <si>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</si>
  <si>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</si>
  <si>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</si>
  <si>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</si>
  <si>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</si>
  <si>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</si>
  <si>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</si>
  <si>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</si>
  <si>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</si>
  <si>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</si>
  <si>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</si>
  <si>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</si>
  <si>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</si>
  <si>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</si>
  <si>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</si>
  <si>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</si>
  <si>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</si>
  <si>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</si>
  <si>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</si>
  <si>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</si>
  <si>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</si>
  <si>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</si>
  <si>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</si>
  <si>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</si>
  <si>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</si>
  <si>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</si>
  <si>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</si>
  <si>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</si>
  <si>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</si>
  <si>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</si>
  <si>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</si>
  <si>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</si>
  <si>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</si>
  <si>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</si>
  <si>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</si>
  <si>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</si>
  <si>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</si>
  <si>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</si>
  <si>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</si>
  <si>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</si>
  <si>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</si>
  <si>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</si>
  <si>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</si>
  <si>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</si>
  <si>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</si>
  <si>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</si>
  <si>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</si>
  <si>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</si>
  <si>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</si>
  <si>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</si>
  <si>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</si>
  <si>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</si>
  <si>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</si>
  <si>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</si>
  <si>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</si>
  <si>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</si>
  <si>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</si>
  <si>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</si>
  <si>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</si>
  <si>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</si>
  <si>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</si>
  <si>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</si>
  <si>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</si>
  <si>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</si>
  <si>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</si>
  <si>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</si>
  <si>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</si>
  <si>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</si>
  <si>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</si>
  <si>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</si>
  <si>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</si>
  <si>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</si>
  <si>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</si>
  <si>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</si>
  <si>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</si>
  <si>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</si>
  <si>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</si>
  <si>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</si>
  <si>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</si>
  <si>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</si>
  <si>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</si>
  <si>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</si>
  <si>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</si>
  <si>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</si>
  <si>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</si>
  <si>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</si>
  <si>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</si>
  <si>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</si>
  <si>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</si>
  <si>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</si>
  <si>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</si>
  <si>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</si>
  <si>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</si>
  <si>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</si>
  <si>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</si>
  <si>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</si>
  <si>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</si>
  <si>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</si>
  <si>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</si>
  <si>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</si>
  <si>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</si>
  <si>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</si>
  <si>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</si>
  <si>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</si>
  <si>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</si>
  <si>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</si>
  <si>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</si>
  <si>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</si>
  <si>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</si>
  <si>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</si>
  <si>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</si>
  <si>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</si>
  <si>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</si>
  <si>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</si>
  <si>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</si>
  <si>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</si>
  <si>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</si>
  <si>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</si>
  <si>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</si>
  <si>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</si>
  <si>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</si>
  <si>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</si>
  <si>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</si>
  <si>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</si>
  <si>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</si>
  <si>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</si>
  <si>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</si>
  <si>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</si>
  <si>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</si>
  <si>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</si>
  <si>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</si>
  <si>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</si>
  <si>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</si>
  <si>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</si>
  <si>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</si>
  <si>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</si>
  <si>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</si>
  <si>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</si>
  <si>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</si>
  <si>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</si>
  <si>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</si>
  <si>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</si>
  <si>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</si>
  <si>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</si>
  <si>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</si>
  <si>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</si>
  <si>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</si>
  <si>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</si>
  <si>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</si>
  <si>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</si>
  <si>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</si>
  <si>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</si>
  <si>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</si>
  <si>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</si>
  <si>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</si>
  <si>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</si>
  <si>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</si>
  <si>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</si>
  <si>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</si>
  <si>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</si>
  <si>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</si>
  <si>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</si>
  <si>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</si>
  <si>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</si>
  <si>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</si>
  <si>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</si>
  <si>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</si>
  <si>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</si>
  <si>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</si>
  <si>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</si>
  <si>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</si>
  <si>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</si>
  <si>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</si>
  <si>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</si>
  <si>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</si>
  <si>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</si>
  <si>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</si>
  <si>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</si>
  <si>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</si>
  <si>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</si>
  <si>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</si>
  <si>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</si>
  <si>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</si>
  <si>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</si>
  <si>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</si>
  <si>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</si>
  <si>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</si>
  <si>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</si>
  <si>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</si>
  <si>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</si>
  <si>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</si>
  <si>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</si>
  <si>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</si>
  <si>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</si>
  <si>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</si>
  <si>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</si>
  <si>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</si>
  <si>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</si>
  <si>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</si>
  <si>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</si>
  <si>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</si>
  <si>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</si>
  <si>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</si>
  <si>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</si>
  <si>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</si>
  <si>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</si>
  <si>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</si>
  <si>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</si>
  <si>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</si>
  <si>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</si>
  <si>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</si>
  <si>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</si>
  <si>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</si>
  <si>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</si>
  <si>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</si>
  <si>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</si>
  <si>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</si>
  <si>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</si>
  <si>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</si>
  <si>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</si>
  <si>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</si>
  <si>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</si>
  <si>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</si>
  <si>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</si>
  <si>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</si>
  <si>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</si>
  <si>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</si>
  <si>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</si>
  <si>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</si>
  <si>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</si>
  <si>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</si>
  <si>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</si>
  <si>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</si>
  <si>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</si>
  <si>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</si>
  <si>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</si>
  <si>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</si>
  <si>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</si>
  <si>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</si>
  <si>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</si>
  <si>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</si>
  <si>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</si>
  <si>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</si>
  <si>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</si>
  <si>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</si>
  <si>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</si>
  <si>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</si>
  <si>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</si>
  <si>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</si>
  <si>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</si>
  <si>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</si>
  <si>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</si>
  <si>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</si>
  <si>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</si>
  <si>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</si>
  <si>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</si>
  <si>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</si>
  <si>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</si>
  <si>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</si>
  <si>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</si>
  <si>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</si>
  <si>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</si>
  <si>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</si>
  <si>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</si>
  <si>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</si>
  <si>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</si>
  <si>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</si>
  <si>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</si>
  <si>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</si>
  <si>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</si>
  <si>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</si>
  <si>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</si>
  <si>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</si>
  <si>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</si>
  <si>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</si>
  <si>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</si>
  <si>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</si>
  <si>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</si>
  <si>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</si>
  <si>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</si>
  <si>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</si>
  <si>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</si>
  <si>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</si>
  <si>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</si>
  <si>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</si>
  <si>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</si>
  <si>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</si>
  <si>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</si>
  <si>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</si>
  <si>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</si>
  <si>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</si>
  <si>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</si>
  <si>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</si>
  <si>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</si>
  <si>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</si>
  <si>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</si>
  <si>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</si>
  <si>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</si>
  <si>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</si>
  <si>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</si>
  <si>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</si>
  <si>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</si>
  <si>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</si>
  <si>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</si>
  <si>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</si>
  <si>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</si>
  <si>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</si>
  <si>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</si>
  <si>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</si>
  <si>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</si>
  <si>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</si>
  <si>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</si>
  <si>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</si>
  <si>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</si>
  <si>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</si>
  <si>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</si>
  <si>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</si>
  <si>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</si>
  <si>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</si>
  <si>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</si>
  <si>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</si>
  <si>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</si>
  <si>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</si>
  <si>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</si>
  <si>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</si>
  <si>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</si>
  <si>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</si>
  <si>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</si>
  <si>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</si>
  <si>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</si>
  <si>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</si>
  <si>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</si>
  <si>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</si>
  <si>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</si>
  <si>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</si>
  <si>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</si>
  <si>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</si>
  <si>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</si>
  <si>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</si>
  <si>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</si>
  <si>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</si>
  <si>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</si>
  <si>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</si>
  <si>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</si>
  <si>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</si>
  <si>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</si>
  <si>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</si>
  <si>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</si>
  <si>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</si>
  <si>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</si>
  <si>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</si>
  <si>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</si>
  <si>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</si>
  <si>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</si>
  <si>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</si>
  <si>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</si>
  <si>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</si>
  <si>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</si>
  <si>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</si>
  <si>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</si>
  <si>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</si>
  <si>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</si>
  <si>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</si>
  <si>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</si>
  <si>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</si>
  <si>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</si>
  <si>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</si>
  <si>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</si>
  <si>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</si>
  <si>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</si>
  <si>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</si>
  <si>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</si>
  <si>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</si>
  <si>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18-13-13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</si>
  <si>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</si>
  <si>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</si>
  <si>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</si>
  <si>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</si>
  <si>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</si>
  <si>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</si>
  <si>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</si>
  <si>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</si>
  <si>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</si>
  <si>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</si>
  <si>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</si>
  <si>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</si>
  <si>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</si>
  <si>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</si>
  <si>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</si>
  <si>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</si>
  <si>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</si>
  <si>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</si>
  <si>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</si>
  <si>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</si>
  <si>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</si>
  <si>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</si>
  <si>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</si>
  <si>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</si>
  <si>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</si>
  <si>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</si>
  <si>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</si>
  <si>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</si>
  <si>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</si>
  <si>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</si>
  <si>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</si>
  <si>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</si>
  <si>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</si>
  <si>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</si>
  <si>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</si>
  <si>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</si>
  <si>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</si>
  <si>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</si>
  <si>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</si>
  <si>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</si>
  <si>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</si>
  <si>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</si>
  <si>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</si>
  <si>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</si>
  <si>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</si>
  <si>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</si>
  <si>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</si>
  <si>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</si>
  <si>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</si>
  <si>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</si>
  <si>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</si>
  <si>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</si>
  <si>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</si>
  <si>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</si>
  <si>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</si>
  <si>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</si>
  <si>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</si>
  <si>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</si>
  <si>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</si>
  <si>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</si>
  <si>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</si>
  <si>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</si>
  <si>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</si>
  <si>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</si>
  <si>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</si>
  <si>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</si>
  <si>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</si>
  <si>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</si>
  <si>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</si>
  <si>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</si>
  <si>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</si>
  <si>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</si>
  <si>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</si>
  <si>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</si>
  <si>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</si>
  <si>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</si>
  <si>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</si>
  <si>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U.S. Bancorp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</si>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</sst>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9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14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8" fontId="49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14" fontId="49" fillId="0" borderId="0" xfId="0" applyNumberFormat="1" applyFont="1" applyFill="1"/>
    <xf numFmtId="0" fontId="49" fillId="0" borderId="0" xfId="0" applyNumberFormat="1" applyFont="1" applyFill="1" applyAlignment="1">
      <alignment horizontal="center"/>
    </xf>
    <xf numFmtId="4" fontId="49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4" fontId="49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80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43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4" fontId="62" fillId="0" borderId="0" xfId="0" applyNumberFormat="1" applyFont="1" applyFill="1" applyAlignment="1">
      <alignment horizontal="left"/>
    </xf>
    <xf numFmtId="2" fontId="23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8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wrapText="1"/>
    </xf>
    <xf numFmtId="0" fontId="44" fillId="8" borderId="4" xfId="0" applyFont="1" applyFill="1" applyBorder="1" applyAlignment="1">
      <alignment wrapText="1"/>
    </xf>
    <xf numFmtId="180" fontId="50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horizontal="center"/>
    </xf>
    <xf numFmtId="179" fontId="44" fillId="8" borderId="4" xfId="0" applyNumberFormat="1" applyFont="1" applyFill="1" applyBorder="1" applyAlignment="1">
      <alignment horizontal="center"/>
    </xf>
    <xf numFmtId="178" fontId="49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3" fillId="2" borderId="5" xfId="0" applyFont="1" applyFill="1" applyBorder="1" applyAlignment="1">
      <alignment horizontal="center"/>
    </xf>
    <xf numFmtId="176" fontId="43" fillId="2" borderId="5" xfId="0" applyNumberFormat="1" applyFont="1" applyFill="1" applyBorder="1" applyAlignment="1">
      <alignment horizontal="center"/>
    </xf>
    <xf numFmtId="4" fontId="43" fillId="2" borderId="5" xfId="0" applyNumberFormat="1" applyFont="1" applyFill="1" applyBorder="1" applyAlignment="1">
      <alignment horizontal="center"/>
    </xf>
    <xf numFmtId="164" fontId="43" fillId="2" borderId="5" xfId="0" applyNumberFormat="1" applyFont="1" applyFill="1" applyBorder="1" applyAlignment="1">
      <alignment horizontal="center"/>
    </xf>
    <xf numFmtId="14" fontId="45" fillId="2" borderId="5" xfId="0" applyNumberFormat="1" applyFont="1" applyFill="1" applyBorder="1" applyAlignment="1">
      <alignment horizontal="center"/>
    </xf>
    <xf numFmtId="179" fontId="43" fillId="2" borderId="5" xfId="0" applyNumberFormat="1" applyFont="1" applyFill="1" applyBorder="1" applyAlignment="1">
      <alignment horizontal="center"/>
    </xf>
    <xf numFmtId="178" fontId="43" fillId="2" borderId="5" xfId="0" applyNumberFormat="1" applyFont="1" applyFill="1" applyBorder="1" applyAlignment="1">
      <alignment horizontal="center"/>
    </xf>
    <xf numFmtId="183" fontId="58" fillId="0" borderId="5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176" fontId="43" fillId="8" borderId="4" xfId="0" applyNumberFormat="1" applyFont="1" applyFill="1" applyBorder="1" applyAlignment="1">
      <alignment horizontal="center"/>
    </xf>
    <xf numFmtId="4" fontId="43" fillId="8" borderId="4" xfId="0" applyNumberFormat="1" applyFont="1" applyFill="1" applyBorder="1" applyAlignment="1">
      <alignment horizontal="center"/>
    </xf>
    <xf numFmtId="14" fontId="43" fillId="8" borderId="4" xfId="0" applyNumberFormat="1" applyFont="1" applyFill="1" applyBorder="1" applyAlignment="1">
      <alignment horizontal="center"/>
    </xf>
    <xf numFmtId="179" fontId="43" fillId="8" borderId="4" xfId="0" applyNumberFormat="1" applyFont="1" applyFill="1" applyBorder="1" applyAlignment="1">
      <alignment horizontal="center"/>
    </xf>
    <xf numFmtId="178" fontId="43" fillId="8" borderId="4" xfId="0" applyNumberFormat="1" applyFont="1" applyFill="1" applyBorder="1" applyAlignment="1">
      <alignment horizontal="center"/>
    </xf>
    <xf numFmtId="183" fontId="43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14" fontId="44" fillId="8" borderId="4" xfId="0" applyNumberFormat="1" applyFont="1" applyFill="1" applyBorder="1" applyAlignment="1">
      <alignment horizontal="center"/>
    </xf>
    <xf numFmtId="183" fontId="52" fillId="8" borderId="4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14" fontId="52" fillId="8" borderId="4" xfId="0" applyNumberFormat="1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176" fontId="52" fillId="8" borderId="4" xfId="0" applyNumberFormat="1" applyFont="1" applyFill="1" applyBorder="1" applyAlignment="1">
      <alignment horizontal="center"/>
    </xf>
    <xf numFmtId="4" fontId="52" fillId="8" borderId="4" xfId="0" applyNumberFormat="1" applyFont="1" applyFill="1" applyBorder="1" applyAlignment="1">
      <alignment wrapText="1"/>
    </xf>
    <xf numFmtId="0" fontId="52" fillId="8" borderId="4" xfId="0" applyFont="1" applyFill="1" applyBorder="1" applyAlignment="1">
      <alignment wrapText="1"/>
    </xf>
    <xf numFmtId="4" fontId="52" fillId="8" borderId="4" xfId="0" applyNumberFormat="1" applyFont="1" applyFill="1" applyBorder="1" applyAlignment="1">
      <alignment horizontal="center"/>
    </xf>
    <xf numFmtId="178" fontId="52" fillId="8" borderId="4" xfId="0" applyNumberFormat="1" applyFont="1" applyFill="1" applyBorder="1" applyAlignment="1">
      <alignment horizontal="center"/>
    </xf>
    <xf numFmtId="179" fontId="52" fillId="8" borderId="4" xfId="0" applyNumberFormat="1" applyFont="1" applyFill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0" fontId="49" fillId="8" borderId="4" xfId="0" applyNumberFormat="1" applyFont="1" applyFill="1" applyBorder="1" applyAlignment="1">
      <alignment horizontal="center"/>
    </xf>
    <xf numFmtId="168" fontId="44" fillId="8" borderId="4" xfId="0" applyNumberFormat="1" applyFont="1" applyFill="1" applyBorder="1" applyAlignment="1">
      <alignment horizontal="center"/>
    </xf>
    <xf numFmtId="14" fontId="50" fillId="8" borderId="4" xfId="0" applyNumberFormat="1" applyFont="1" applyFill="1" applyBorder="1" applyAlignment="1">
      <alignment horizontal="center"/>
    </xf>
    <xf numFmtId="0" fontId="44" fillId="8" borderId="4" xfId="0" applyNumberFormat="1" applyFont="1" applyFill="1" applyBorder="1" applyAlignment="1">
      <alignment horizontal="center"/>
    </xf>
    <xf numFmtId="176" fontId="44" fillId="8" borderId="4" xfId="0" applyNumberFormat="1" applyFont="1" applyFill="1" applyBorder="1" applyAlignment="1">
      <alignment horizontal="center"/>
    </xf>
    <xf numFmtId="14" fontId="49" fillId="8" borderId="4" xfId="0" applyNumberFormat="1" applyFont="1" applyFill="1" applyBorder="1"/>
    <xf numFmtId="14" fontId="44" fillId="8" borderId="4" xfId="0" applyNumberFormat="1" applyFont="1" applyFill="1" applyBorder="1"/>
    <xf numFmtId="0" fontId="44" fillId="8" borderId="4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14" fontId="56" fillId="8" borderId="4" xfId="0" applyNumberFormat="1" applyFont="1" applyFill="1" applyBorder="1"/>
    <xf numFmtId="0" fontId="56" fillId="8" borderId="4" xfId="0" applyNumberFormat="1" applyFont="1" applyFill="1" applyBorder="1" applyAlignment="1">
      <alignment horizontal="center"/>
    </xf>
    <xf numFmtId="176" fontId="56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wrapText="1"/>
    </xf>
    <xf numFmtId="183" fontId="44" fillId="8" borderId="4" xfId="0" applyNumberFormat="1" applyFont="1" applyFill="1" applyBorder="1" applyAlignment="1">
      <alignment horizontal="right" wrapText="1"/>
    </xf>
    <xf numFmtId="183" fontId="52" fillId="8" borderId="4" xfId="0" applyNumberFormat="1" applyFont="1" applyFill="1" applyBorder="1" applyAlignment="1">
      <alignment horizontal="right" wrapText="1"/>
    </xf>
    <xf numFmtId="0" fontId="49" fillId="8" borderId="4" xfId="0" applyNumberFormat="1" applyFont="1" applyFill="1" applyBorder="1" applyAlignment="1"/>
    <xf numFmtId="4" fontId="49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44" fillId="8" borderId="4" xfId="0" applyNumberFormat="1" applyFont="1" applyFill="1" applyBorder="1" applyAlignment="1"/>
    <xf numFmtId="183" fontId="44" fillId="8" borderId="4" xfId="0" applyNumberFormat="1" applyFont="1" applyFill="1" applyBorder="1" applyAlignment="1">
      <alignment horizontal="center" wrapText="1"/>
    </xf>
    <xf numFmtId="14" fontId="45" fillId="8" borderId="4" xfId="0" applyNumberFormat="1" applyFont="1" applyFill="1" applyBorder="1" applyAlignment="1">
      <alignment horizontal="center"/>
    </xf>
    <xf numFmtId="178" fontId="44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horizontal="center"/>
    </xf>
    <xf numFmtId="167" fontId="52" fillId="8" borderId="4" xfId="0" applyNumberFormat="1" applyFont="1" applyFill="1" applyBorder="1" applyAlignment="1">
      <alignment horizontal="center"/>
    </xf>
    <xf numFmtId="14" fontId="54" fillId="8" borderId="4" xfId="0" applyNumberFormat="1" applyFont="1" applyFill="1" applyBorder="1" applyAlignment="1">
      <alignment horizontal="center"/>
    </xf>
    <xf numFmtId="183" fontId="57" fillId="8" borderId="4" xfId="0" applyNumberFormat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8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49"/>
          <c:h val="0.794526726935615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0757743313734939E-2"/>
                  <c:y val="-0.328788562233742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48E-3"/>
                  <c:y val="-9.81706432424592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291E-3"/>
                  <c:y val="-0.178622159409560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90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088E-3"/>
                  <c:y val="4.5720550956771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"$"#,##0.00_);[Red]\("$"#,##0.00\)</c:formatCode>
                <c:ptCount val="14"/>
                <c:pt idx="0">
                  <c:v>598305.58600168268</c:v>
                </c:pt>
                <c:pt idx="2">
                  <c:v>96118.646969612717</c:v>
                </c:pt>
                <c:pt idx="4">
                  <c:v>98756.380673723965</c:v>
                </c:pt>
                <c:pt idx="6">
                  <c:v>255009.88100000005</c:v>
                </c:pt>
                <c:pt idx="8">
                  <c:v>149823.27763104893</c:v>
                </c:pt>
                <c:pt idx="10">
                  <c:v>13413.840283491427</c:v>
                </c:pt>
                <c:pt idx="12">
                  <c:v>-14816.440556194404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3080192"/>
        <c:axId val="313079800"/>
      </c:barChart>
      <c:catAx>
        <c:axId val="3130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13079800"/>
        <c:crosses val="autoZero"/>
        <c:auto val="1"/>
        <c:lblAlgn val="ctr"/>
        <c:lblOffset val="100"/>
        <c:noMultiLvlLbl val="0"/>
      </c:catAx>
      <c:valAx>
        <c:axId val="31307980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_);[Red]\(&quot;$&quot;#,##0.00\)" sourceLinked="1"/>
        <c:majorTickMark val="none"/>
        <c:min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308019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12"/>
  <sheetViews>
    <sheetView tabSelected="1" zoomScale="70" zoomScaleNormal="70" workbookViewId="0">
      <selection activeCell="M15" sqref="M15"/>
    </sheetView>
  </sheetViews>
  <sheetFormatPr defaultColWidth="9.140625" defaultRowHeight="15" x14ac:dyDescent="0.2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 x14ac:dyDescent="0.25">
      <c r="M1" s="333"/>
    </row>
    <row r="2" spans="2:13" x14ac:dyDescent="0.25">
      <c r="L2" s="65" t="s">
        <v>996</v>
      </c>
    </row>
    <row r="3" spans="2:13" x14ac:dyDescent="0.25">
      <c r="B3" t="s">
        <v>474</v>
      </c>
      <c r="C3" s="64">
        <f>SUM(C5:C16)</f>
        <v>598305.58600168268</v>
      </c>
    </row>
    <row r="4" spans="2:13" x14ac:dyDescent="0.25">
      <c r="C4" s="64"/>
      <c r="L4" t="s">
        <v>997</v>
      </c>
      <c r="M4" s="389">
        <v>40469</v>
      </c>
    </row>
    <row r="5" spans="2:13" x14ac:dyDescent="0.25">
      <c r="B5" t="s">
        <v>882</v>
      </c>
      <c r="C5" s="64">
        <f>SUM('FUTURES WKLY'!A4)</f>
        <v>96118.646969612717</v>
      </c>
      <c r="L5" t="s">
        <v>998</v>
      </c>
      <c r="M5" s="389">
        <v>40469</v>
      </c>
    </row>
    <row r="6" spans="2:13" x14ac:dyDescent="0.25">
      <c r="C6" s="64"/>
      <c r="L6" t="s">
        <v>999</v>
      </c>
      <c r="M6" s="321">
        <v>40786</v>
      </c>
    </row>
    <row r="7" spans="2:13" x14ac:dyDescent="0.25">
      <c r="B7" t="s">
        <v>995</v>
      </c>
      <c r="C7" s="64">
        <f>SUM('ASX WKLY'!A4)</f>
        <v>98756.380673723965</v>
      </c>
      <c r="L7" t="s">
        <v>1000</v>
      </c>
      <c r="M7" s="321">
        <v>40830</v>
      </c>
    </row>
    <row r="8" spans="2:13" x14ac:dyDescent="0.25">
      <c r="C8" s="64"/>
      <c r="L8" t="s">
        <v>881</v>
      </c>
      <c r="M8" s="389">
        <v>41302</v>
      </c>
    </row>
    <row r="9" spans="2:13" x14ac:dyDescent="0.25">
      <c r="B9" t="s">
        <v>883</v>
      </c>
      <c r="C9" s="64">
        <f>SUM('S&amp;P500 WKLY '!A4)</f>
        <v>255009.88100000005</v>
      </c>
      <c r="L9" t="s">
        <v>1044</v>
      </c>
      <c r="M9" s="389">
        <v>41324</v>
      </c>
    </row>
    <row r="10" spans="2:13" x14ac:dyDescent="0.25">
      <c r="C10" s="64"/>
    </row>
    <row r="11" spans="2:13" x14ac:dyDescent="0.25">
      <c r="B11" t="s">
        <v>884</v>
      </c>
      <c r="C11" s="64">
        <f>SUM('LSE WKLY'!A4)</f>
        <v>149823.27763104893</v>
      </c>
    </row>
    <row r="12" spans="2:13" x14ac:dyDescent="0.25">
      <c r="C12" s="64"/>
      <c r="L12" t="s">
        <v>946</v>
      </c>
    </row>
    <row r="13" spans="2:13" x14ac:dyDescent="0.25">
      <c r="B13" t="s">
        <v>881</v>
      </c>
      <c r="C13" s="64">
        <f>SUM('Futures Daily'!A4)</f>
        <v>13413.840283491427</v>
      </c>
    </row>
    <row r="14" spans="2:13" x14ac:dyDescent="0.25">
      <c r="C14" s="64"/>
      <c r="L14" t="s">
        <v>10</v>
      </c>
      <c r="M14" t="s">
        <v>947</v>
      </c>
    </row>
    <row r="15" spans="2:13" x14ac:dyDescent="0.25">
      <c r="B15" t="s">
        <v>907</v>
      </c>
      <c r="C15" s="64">
        <f>SUM('Forex Daily'!A4)</f>
        <v>-14816.440556194404</v>
      </c>
    </row>
    <row r="16" spans="2:13" x14ac:dyDescent="0.25">
      <c r="L16" s="65" t="s">
        <v>6</v>
      </c>
      <c r="M16" t="s">
        <v>948</v>
      </c>
    </row>
    <row r="17" spans="1:43" x14ac:dyDescent="0.25">
      <c r="L17" s="325" t="s">
        <v>6</v>
      </c>
      <c r="M17" s="326" t="s">
        <v>949</v>
      </c>
      <c r="N17" s="326"/>
      <c r="O17" s="326"/>
      <c r="P17" s="326"/>
    </row>
    <row r="18" spans="1:43" x14ac:dyDescent="0.25">
      <c r="L18" s="325" t="s">
        <v>6</v>
      </c>
      <c r="M18" s="326" t="s">
        <v>1149</v>
      </c>
      <c r="N18" s="326"/>
      <c r="O18" s="326"/>
      <c r="P18" s="326"/>
    </row>
    <row r="19" spans="1:43" s="332" customFormat="1" x14ac:dyDescent="0.25">
      <c r="A19" s="64"/>
      <c r="L19" s="325" t="s">
        <v>6</v>
      </c>
      <c r="M19" s="326" t="s">
        <v>1480</v>
      </c>
      <c r="N19" s="326"/>
      <c r="O19" s="326"/>
      <c r="P19" s="326"/>
    </row>
    <row r="20" spans="1:43" s="332" customFormat="1" x14ac:dyDescent="0.25">
      <c r="A20" s="64"/>
      <c r="L20" s="325"/>
      <c r="M20" s="326"/>
      <c r="N20" s="326"/>
      <c r="O20" s="326"/>
      <c r="P20" s="326"/>
    </row>
    <row r="21" spans="1:43" x14ac:dyDescent="0.25">
      <c r="L21" s="325" t="s">
        <v>950</v>
      </c>
      <c r="M21" s="326" t="s">
        <v>951</v>
      </c>
      <c r="N21" s="326"/>
      <c r="O21" s="326"/>
      <c r="P21" s="326"/>
    </row>
    <row r="22" spans="1:43" x14ac:dyDescent="0.25">
      <c r="L22" s="325" t="s">
        <v>950</v>
      </c>
      <c r="M22" s="326" t="s">
        <v>952</v>
      </c>
      <c r="N22" s="326"/>
      <c r="O22" s="326"/>
      <c r="P22" s="326"/>
    </row>
    <row r="23" spans="1:43" x14ac:dyDescent="0.25">
      <c r="L23" s="325" t="s">
        <v>950</v>
      </c>
      <c r="M23" s="326" t="s">
        <v>1150</v>
      </c>
      <c r="N23" s="326"/>
      <c r="O23" s="326"/>
      <c r="P23" s="326"/>
      <c r="AQ23" s="328"/>
    </row>
    <row r="24" spans="1:43" s="332" customFormat="1" x14ac:dyDescent="0.25">
      <c r="A24" s="64"/>
      <c r="L24" s="325" t="s">
        <v>950</v>
      </c>
      <c r="M24" s="326" t="s">
        <v>1480</v>
      </c>
      <c r="N24" s="326"/>
      <c r="O24" s="326"/>
      <c r="P24" s="326"/>
      <c r="AQ24" s="328"/>
    </row>
    <row r="25" spans="1:43" s="332" customFormat="1" x14ac:dyDescent="0.25">
      <c r="A25" s="64"/>
      <c r="L25" s="325"/>
      <c r="M25" s="326"/>
      <c r="N25" s="326"/>
      <c r="O25" s="326"/>
      <c r="P25" s="326"/>
      <c r="AQ25" s="328"/>
    </row>
    <row r="26" spans="1:43" x14ac:dyDescent="0.25">
      <c r="L26" s="325" t="s">
        <v>953</v>
      </c>
      <c r="M26" s="327" t="s">
        <v>954</v>
      </c>
      <c r="N26" s="326"/>
      <c r="O26" s="326"/>
      <c r="P26" s="326"/>
    </row>
    <row r="27" spans="1:43" x14ac:dyDescent="0.25">
      <c r="L27" s="325" t="s">
        <v>953</v>
      </c>
      <c r="M27" s="327" t="s">
        <v>1149</v>
      </c>
      <c r="N27" s="326"/>
      <c r="O27" s="326"/>
      <c r="P27" s="326"/>
    </row>
    <row r="28" spans="1:43" s="332" customFormat="1" x14ac:dyDescent="0.25">
      <c r="A28" s="64"/>
      <c r="L28" s="325" t="s">
        <v>953</v>
      </c>
      <c r="M28" s="326" t="s">
        <v>1480</v>
      </c>
      <c r="N28" s="326"/>
      <c r="O28" s="326"/>
      <c r="P28" s="326"/>
    </row>
    <row r="29" spans="1:43" s="332" customFormat="1" x14ac:dyDescent="0.25">
      <c r="A29" s="64"/>
      <c r="L29" s="325"/>
      <c r="M29" s="327"/>
      <c r="N29" s="326"/>
      <c r="O29" s="326"/>
      <c r="P29" s="326"/>
    </row>
    <row r="30" spans="1:43" x14ac:dyDescent="0.25">
      <c r="L30" s="65" t="s">
        <v>955</v>
      </c>
      <c r="M30" t="s">
        <v>956</v>
      </c>
    </row>
    <row r="31" spans="1:43" x14ac:dyDescent="0.25">
      <c r="L31" s="65" t="s">
        <v>955</v>
      </c>
      <c r="M31" s="327" t="s">
        <v>1352</v>
      </c>
    </row>
    <row r="32" spans="1:43" s="332" customFormat="1" x14ac:dyDescent="0.25">
      <c r="A32" s="64"/>
      <c r="L32" s="65" t="s">
        <v>955</v>
      </c>
      <c r="M32" s="326" t="s">
        <v>1480</v>
      </c>
    </row>
    <row r="36" spans="1:14" x14ac:dyDescent="0.25">
      <c r="L36" s="332" t="s">
        <v>1370</v>
      </c>
    </row>
    <row r="39" spans="1:14" x14ac:dyDescent="0.25">
      <c r="N39" t="s">
        <v>3</v>
      </c>
    </row>
    <row r="48" spans="1:14" s="443" customFormat="1" x14ac:dyDescent="0.25">
      <c r="A48" s="442"/>
    </row>
    <row r="49" spans="1:8" s="443" customFormat="1" ht="21" x14ac:dyDescent="0.35">
      <c r="A49" s="442"/>
      <c r="B49" s="441"/>
    </row>
    <row r="50" spans="1:8" s="443" customFormat="1" ht="15.75" x14ac:dyDescent="0.25">
      <c r="A50" s="442"/>
      <c r="B50" s="444"/>
      <c r="C50" s="445"/>
      <c r="D50" s="445"/>
      <c r="E50" s="445"/>
      <c r="F50" s="445"/>
      <c r="G50" s="445"/>
      <c r="H50" s="445"/>
    </row>
    <row r="51" spans="1:8" s="443" customFormat="1" ht="15.75" x14ac:dyDescent="0.25">
      <c r="A51" s="442"/>
      <c r="B51" s="446"/>
      <c r="C51" s="447"/>
      <c r="D51" s="447"/>
      <c r="E51" s="447"/>
      <c r="F51" s="447"/>
      <c r="G51" s="447"/>
      <c r="H51" s="448"/>
    </row>
    <row r="52" spans="1:8" s="443" customFormat="1" ht="15.75" x14ac:dyDescent="0.25">
      <c r="A52" s="442"/>
      <c r="B52" s="446"/>
      <c r="C52" s="449"/>
      <c r="D52" s="449"/>
      <c r="E52" s="449"/>
      <c r="F52" s="449"/>
      <c r="G52" s="449"/>
      <c r="H52" s="449"/>
    </row>
    <row r="53" spans="1:8" s="443" customFormat="1" ht="15.75" x14ac:dyDescent="0.25">
      <c r="A53" s="442"/>
      <c r="B53" s="446"/>
      <c r="C53" s="450"/>
      <c r="D53" s="450"/>
      <c r="E53" s="450"/>
      <c r="F53" s="450"/>
      <c r="G53" s="450"/>
      <c r="H53" s="450"/>
    </row>
    <row r="54" spans="1:8" s="443" customFormat="1" ht="15.75" x14ac:dyDescent="0.25">
      <c r="A54" s="442"/>
      <c r="B54" s="446"/>
      <c r="C54" s="444"/>
      <c r="D54" s="444"/>
      <c r="E54" s="444"/>
      <c r="F54" s="444"/>
      <c r="G54" s="444"/>
      <c r="H54" s="444"/>
    </row>
    <row r="55" spans="1:8" s="443" customFormat="1" ht="15.75" x14ac:dyDescent="0.25">
      <c r="A55" s="442"/>
      <c r="B55" s="446"/>
      <c r="C55" s="444"/>
      <c r="D55" s="444"/>
      <c r="E55" s="444"/>
      <c r="F55" s="444"/>
      <c r="G55" s="444"/>
      <c r="H55" s="444"/>
    </row>
    <row r="56" spans="1:8" s="443" customFormat="1" ht="15.75" x14ac:dyDescent="0.25">
      <c r="A56" s="442"/>
      <c r="B56" s="446"/>
      <c r="C56" s="451"/>
      <c r="D56" s="451"/>
      <c r="E56" s="451"/>
      <c r="F56" s="451"/>
      <c r="G56" s="451"/>
      <c r="H56" s="451"/>
    </row>
    <row r="57" spans="1:8" s="443" customFormat="1" ht="15.75" x14ac:dyDescent="0.25">
      <c r="A57" s="442"/>
      <c r="B57" s="446"/>
      <c r="C57" s="451"/>
      <c r="D57" s="451"/>
      <c r="E57" s="451"/>
      <c r="F57" s="451"/>
      <c r="G57" s="451"/>
      <c r="H57" s="451"/>
    </row>
    <row r="58" spans="1:8" s="443" customFormat="1" ht="15.75" x14ac:dyDescent="0.25">
      <c r="A58" s="442"/>
      <c r="B58" s="446"/>
      <c r="C58" s="452"/>
      <c r="D58" s="452"/>
      <c r="E58" s="452"/>
      <c r="F58" s="452"/>
      <c r="G58" s="452"/>
      <c r="H58" s="452"/>
    </row>
    <row r="59" spans="1:8" s="443" customFormat="1" ht="15.75" x14ac:dyDescent="0.25">
      <c r="A59" s="442"/>
      <c r="B59" s="446"/>
      <c r="C59" s="448"/>
      <c r="D59" s="448"/>
      <c r="E59" s="448"/>
      <c r="F59" s="448"/>
      <c r="G59" s="448"/>
      <c r="H59" s="448"/>
    </row>
    <row r="60" spans="1:8" s="443" customFormat="1" ht="15.75" x14ac:dyDescent="0.25">
      <c r="A60" s="442"/>
      <c r="B60" s="446"/>
      <c r="C60" s="453"/>
      <c r="D60" s="453"/>
      <c r="E60" s="453"/>
      <c r="F60" s="453"/>
      <c r="G60" s="453"/>
      <c r="H60" s="453"/>
    </row>
    <row r="61" spans="1:8" s="443" customFormat="1" x14ac:dyDescent="0.25">
      <c r="A61" s="442"/>
    </row>
    <row r="62" spans="1:8" s="443" customFormat="1" x14ac:dyDescent="0.25">
      <c r="A62" s="442"/>
    </row>
    <row r="63" spans="1:8" s="443" customFormat="1" ht="21" x14ac:dyDescent="0.35">
      <c r="A63" s="442"/>
      <c r="B63" s="441"/>
    </row>
    <row r="64" spans="1:8" s="443" customFormat="1" x14ac:dyDescent="0.25">
      <c r="A64" s="442"/>
    </row>
    <row r="65" spans="2:3" x14ac:dyDescent="0.25">
      <c r="B65" s="325"/>
    </row>
    <row r="66" spans="2:3" x14ac:dyDescent="0.25">
      <c r="B66" s="326"/>
    </row>
    <row r="67" spans="2:3" x14ac:dyDescent="0.25">
      <c r="B67" s="326"/>
    </row>
    <row r="68" spans="2:3" x14ac:dyDescent="0.25">
      <c r="B68" s="326"/>
    </row>
    <row r="69" spans="2:3" x14ac:dyDescent="0.25">
      <c r="B69" s="326"/>
    </row>
    <row r="70" spans="2:3" x14ac:dyDescent="0.25">
      <c r="B70" s="326"/>
    </row>
    <row r="71" spans="2:3" x14ac:dyDescent="0.25">
      <c r="B71" s="326"/>
    </row>
    <row r="72" spans="2:3" x14ac:dyDescent="0.25">
      <c r="B72" s="326"/>
    </row>
    <row r="73" spans="2:3" x14ac:dyDescent="0.25">
      <c r="B73" s="326"/>
    </row>
    <row r="74" spans="2:3" ht="21" x14ac:dyDescent="0.35">
      <c r="B74" s="388"/>
      <c r="C74" s="332"/>
    </row>
    <row r="75" spans="2:3" x14ac:dyDescent="0.25">
      <c r="B75" s="326"/>
      <c r="C75" s="332"/>
    </row>
    <row r="76" spans="2:3" x14ac:dyDescent="0.25">
      <c r="B76" s="325"/>
    </row>
    <row r="77" spans="2:3" x14ac:dyDescent="0.25">
      <c r="B77" s="326"/>
    </row>
    <row r="78" spans="2:3" x14ac:dyDescent="0.25">
      <c r="B78" s="326"/>
    </row>
    <row r="79" spans="2:3" x14ac:dyDescent="0.25">
      <c r="B79" s="326"/>
    </row>
    <row r="80" spans="2:3" x14ac:dyDescent="0.25">
      <c r="B80" s="326"/>
    </row>
    <row r="81" spans="2:3" x14ac:dyDescent="0.25">
      <c r="B81" s="326"/>
    </row>
    <row r="82" spans="2:3" x14ac:dyDescent="0.25">
      <c r="B82" s="326"/>
    </row>
    <row r="83" spans="2:3" x14ac:dyDescent="0.25">
      <c r="B83" s="326"/>
    </row>
    <row r="84" spans="2:3" x14ac:dyDescent="0.25">
      <c r="B84" s="326"/>
    </row>
    <row r="85" spans="2:3" ht="21" x14ac:dyDescent="0.35">
      <c r="B85" s="388"/>
      <c r="C85" s="332"/>
    </row>
    <row r="86" spans="2:3" x14ac:dyDescent="0.25">
      <c r="B86" s="326"/>
      <c r="C86" s="332"/>
    </row>
    <row r="87" spans="2:3" x14ac:dyDescent="0.25">
      <c r="B87" s="325"/>
    </row>
    <row r="88" spans="2:3" x14ac:dyDescent="0.25">
      <c r="B88" s="326"/>
    </row>
    <row r="89" spans="2:3" x14ac:dyDescent="0.25">
      <c r="B89" s="326"/>
    </row>
    <row r="90" spans="2:3" x14ac:dyDescent="0.25">
      <c r="B90" s="326"/>
    </row>
    <row r="91" spans="2:3" x14ac:dyDescent="0.25">
      <c r="B91" s="326"/>
    </row>
    <row r="92" spans="2:3" x14ac:dyDescent="0.25">
      <c r="B92" s="326"/>
    </row>
    <row r="93" spans="2:3" x14ac:dyDescent="0.25">
      <c r="B93" s="326"/>
    </row>
    <row r="94" spans="2:3" x14ac:dyDescent="0.25">
      <c r="B94" s="326"/>
    </row>
    <row r="95" spans="2:3" x14ac:dyDescent="0.25">
      <c r="B95" s="326"/>
    </row>
    <row r="96" spans="2:3" ht="21" x14ac:dyDescent="0.35">
      <c r="B96" s="388"/>
      <c r="C96" s="332"/>
    </row>
    <row r="97" spans="2:3" x14ac:dyDescent="0.25">
      <c r="B97" s="326"/>
      <c r="C97" s="332"/>
    </row>
    <row r="98" spans="2:3" x14ac:dyDescent="0.25">
      <c r="B98" s="325"/>
    </row>
    <row r="99" spans="2:3" x14ac:dyDescent="0.25">
      <c r="B99" s="326"/>
    </row>
    <row r="100" spans="2:3" x14ac:dyDescent="0.25">
      <c r="B100" s="326"/>
    </row>
    <row r="101" spans="2:3" x14ac:dyDescent="0.25">
      <c r="B101" s="326"/>
    </row>
    <row r="102" spans="2:3" x14ac:dyDescent="0.25">
      <c r="B102" s="326"/>
    </row>
    <row r="103" spans="2:3" x14ac:dyDescent="0.25">
      <c r="B103" s="326"/>
    </row>
    <row r="104" spans="2:3" x14ac:dyDescent="0.25">
      <c r="B104" s="326"/>
    </row>
    <row r="105" spans="2:3" x14ac:dyDescent="0.25">
      <c r="B105" s="326"/>
    </row>
    <row r="106" spans="2:3" x14ac:dyDescent="0.25">
      <c r="B106" s="326"/>
    </row>
    <row r="107" spans="2:3" x14ac:dyDescent="0.25">
      <c r="B107" s="326"/>
    </row>
    <row r="108" spans="2:3" x14ac:dyDescent="0.25">
      <c r="B108" s="326"/>
    </row>
    <row r="109" spans="2:3" x14ac:dyDescent="0.25">
      <c r="B109" s="326"/>
    </row>
    <row r="110" spans="2:3" x14ac:dyDescent="0.25">
      <c r="B110" s="326"/>
    </row>
    <row r="111" spans="2:3" x14ac:dyDescent="0.25">
      <c r="B111" s="326"/>
    </row>
    <row r="112" spans="2:3" x14ac:dyDescent="0.25">
      <c r="B112" s="32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301"/>
  <sheetViews>
    <sheetView zoomScale="85" zoomScaleNormal="85" workbookViewId="0">
      <selection activeCell="P15" sqref="P15"/>
    </sheetView>
  </sheetViews>
  <sheetFormatPr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9" customWidth="1"/>
    <col min="5" max="5" width="7.85546875" style="479" customWidth="1"/>
    <col min="6" max="6" width="10.42578125" style="480" customWidth="1"/>
    <col min="7" max="7" width="13.5703125" style="480" customWidth="1"/>
    <col min="8" max="8" width="2.140625" style="479" customWidth="1"/>
    <col min="9" max="9" width="14.42578125" style="481" customWidth="1"/>
    <col min="10" max="10" width="9.85546875" style="479" customWidth="1"/>
    <col min="11" max="11" width="14.85546875" style="480" customWidth="1"/>
    <col min="12" max="12" width="14.85546875" style="485" customWidth="1"/>
    <col min="13" max="13" width="10.5703125" style="483" bestFit="1" customWidth="1"/>
    <col min="14" max="14" width="12.42578125" style="484" bestFit="1" customWidth="1"/>
    <col min="15" max="15" width="26" style="374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 x14ac:dyDescent="0.25">
      <c r="A2" s="11" t="s">
        <v>878</v>
      </c>
      <c r="J2" s="482"/>
      <c r="K2" s="482"/>
      <c r="L2" s="482"/>
    </row>
    <row r="3" spans="1:16" ht="9" customHeight="1" x14ac:dyDescent="0.25">
      <c r="A3" s="11"/>
    </row>
    <row r="4" spans="1:16" s="7" customFormat="1" ht="16.5" thickBot="1" x14ac:dyDescent="0.3">
      <c r="A4" s="486">
        <f>SUM(K29+K6)</f>
        <v>98756.380673723965</v>
      </c>
      <c r="B4" s="11"/>
      <c r="C4" s="11"/>
      <c r="D4" s="487"/>
      <c r="E4" s="11"/>
      <c r="F4" s="488"/>
      <c r="G4" s="305"/>
      <c r="H4" s="11"/>
      <c r="I4" s="23"/>
      <c r="J4" s="489"/>
      <c r="K4" s="28"/>
      <c r="L4" s="490"/>
      <c r="M4" s="491"/>
      <c r="N4" s="492"/>
      <c r="O4" s="120"/>
      <c r="P4" s="120"/>
    </row>
    <row r="5" spans="1:16" s="11" customFormat="1" ht="10.5" customHeight="1" thickTop="1" x14ac:dyDescent="0.25">
      <c r="B5" s="471"/>
      <c r="C5" s="471"/>
      <c r="F5" s="28"/>
      <c r="G5" s="305"/>
      <c r="I5" s="23"/>
      <c r="J5" s="13"/>
      <c r="K5" s="889"/>
      <c r="L5" s="889"/>
      <c r="M5" s="889"/>
      <c r="N5" s="889"/>
      <c r="O5" s="889"/>
      <c r="P5" s="120"/>
    </row>
    <row r="6" spans="1:16" s="14" customFormat="1" ht="15.75" x14ac:dyDescent="0.25">
      <c r="A6" s="206"/>
      <c r="B6" s="207"/>
      <c r="C6" s="207"/>
      <c r="D6" s="207"/>
      <c r="E6" s="207" t="s">
        <v>23</v>
      </c>
      <c r="F6" s="209"/>
      <c r="G6" s="306"/>
      <c r="H6" s="207"/>
      <c r="I6" s="210"/>
      <c r="J6" s="206"/>
      <c r="K6" s="214">
        <f>SUM(N24)</f>
        <v>18741.089459799998</v>
      </c>
      <c r="L6" s="290"/>
      <c r="M6" s="258"/>
      <c r="N6" s="300"/>
      <c r="O6" s="472"/>
      <c r="P6" s="120"/>
    </row>
    <row r="7" spans="1:16" s="2" customFormat="1" ht="15.75" x14ac:dyDescent="0.2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5" t="s">
        <v>19</v>
      </c>
      <c r="G7" s="305" t="s">
        <v>669</v>
      </c>
      <c r="H7" s="14"/>
      <c r="I7" s="493" t="s">
        <v>887</v>
      </c>
      <c r="J7" s="14" t="s">
        <v>18</v>
      </c>
      <c r="K7" s="305" t="s">
        <v>671</v>
      </c>
      <c r="L7" s="494" t="s">
        <v>15</v>
      </c>
      <c r="M7" s="491" t="s">
        <v>10</v>
      </c>
      <c r="N7" s="492" t="s">
        <v>672</v>
      </c>
      <c r="O7" s="337"/>
      <c r="P7" s="120"/>
    </row>
    <row r="8" spans="1:16" s="2" customFormat="1" ht="15.75" x14ac:dyDescent="0.2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5" t="s">
        <v>20</v>
      </c>
      <c r="G8" s="305" t="s">
        <v>1100</v>
      </c>
      <c r="H8" s="14"/>
      <c r="I8" s="493" t="s">
        <v>890</v>
      </c>
      <c r="J8" s="14" t="s">
        <v>20</v>
      </c>
      <c r="K8" s="305" t="s">
        <v>1100</v>
      </c>
      <c r="L8" s="494" t="s">
        <v>670</v>
      </c>
      <c r="M8" s="491" t="s">
        <v>14</v>
      </c>
      <c r="N8" s="492"/>
      <c r="O8" s="337"/>
      <c r="P8" s="120"/>
    </row>
    <row r="9" spans="1:16" s="117" customFormat="1" ht="15" customHeight="1" x14ac:dyDescent="0.25">
      <c r="A9" s="495"/>
      <c r="B9" s="496"/>
      <c r="C9" s="496"/>
      <c r="D9" s="496"/>
      <c r="E9" s="496"/>
      <c r="F9" s="497"/>
      <c r="G9" s="498" t="s">
        <v>378</v>
      </c>
      <c r="H9" s="496"/>
      <c r="I9" s="499"/>
      <c r="J9" s="496"/>
      <c r="K9" s="497"/>
      <c r="L9" s="494" t="s">
        <v>378</v>
      </c>
      <c r="M9" s="491" t="s">
        <v>1300</v>
      </c>
      <c r="N9" s="492" t="s">
        <v>885</v>
      </c>
      <c r="P9" s="123"/>
    </row>
    <row r="10" spans="1:16" s="117" customFormat="1" ht="15" customHeight="1" x14ac:dyDescent="0.25">
      <c r="A10" s="14" t="s">
        <v>941</v>
      </c>
      <c r="B10" s="500" t="s">
        <v>33</v>
      </c>
      <c r="C10" s="500" t="s">
        <v>53</v>
      </c>
      <c r="D10" s="501">
        <v>36892</v>
      </c>
      <c r="E10" s="502">
        <v>1</v>
      </c>
      <c r="F10" s="503">
        <v>1</v>
      </c>
      <c r="G10" s="504">
        <f>SUM(E10*F10)</f>
        <v>1</v>
      </c>
      <c r="H10" s="505"/>
      <c r="I10" s="506"/>
      <c r="J10" s="503">
        <v>1</v>
      </c>
      <c r="K10" s="507">
        <f>SUM(E10*J10)</f>
        <v>1</v>
      </c>
      <c r="L10" s="508">
        <f>SUM(K10-G10)</f>
        <v>0</v>
      </c>
      <c r="M10" s="483">
        <v>1</v>
      </c>
      <c r="N10" s="509">
        <f>SUM(L10*M10)</f>
        <v>0</v>
      </c>
      <c r="O10" s="378"/>
      <c r="P10" s="123"/>
    </row>
    <row r="11" spans="1:16" s="119" customFormat="1" ht="15" customHeight="1" x14ac:dyDescent="0.25">
      <c r="A11" s="510" t="s">
        <v>942</v>
      </c>
      <c r="B11" s="511" t="s">
        <v>33</v>
      </c>
      <c r="C11" s="511" t="s">
        <v>78</v>
      </c>
      <c r="D11" s="512">
        <v>36893</v>
      </c>
      <c r="E11" s="513">
        <v>1</v>
      </c>
      <c r="F11" s="514">
        <v>1</v>
      </c>
      <c r="G11" s="515">
        <f>SUM(E11*F11)</f>
        <v>1</v>
      </c>
      <c r="H11" s="516"/>
      <c r="I11" s="517"/>
      <c r="J11" s="514">
        <v>1</v>
      </c>
      <c r="K11" s="518">
        <f>SUM(E11*J11)</f>
        <v>1</v>
      </c>
      <c r="L11" s="519">
        <f>SUM(G11-K11)</f>
        <v>0</v>
      </c>
      <c r="M11" s="520">
        <v>1</v>
      </c>
      <c r="N11" s="521">
        <f>SUM(L11*M11)</f>
        <v>0</v>
      </c>
      <c r="O11" s="377"/>
      <c r="P11" s="124"/>
    </row>
    <row r="12" spans="1:16" s="119" customFormat="1" ht="15" customHeight="1" x14ac:dyDescent="0.25">
      <c r="A12" s="510"/>
      <c r="B12" s="511"/>
      <c r="C12" s="511"/>
      <c r="D12" s="512"/>
      <c r="E12" s="513"/>
      <c r="F12" s="514"/>
      <c r="G12" s="515"/>
      <c r="H12" s="516"/>
      <c r="I12" s="506"/>
      <c r="J12" s="514"/>
      <c r="K12" s="518"/>
      <c r="L12" s="519"/>
      <c r="M12" s="483"/>
      <c r="N12" s="509"/>
      <c r="O12" s="377"/>
      <c r="P12" s="124"/>
    </row>
    <row r="14" spans="1:16" s="117" customFormat="1" ht="15" customHeight="1" x14ac:dyDescent="0.25">
      <c r="A14" s="14" t="s">
        <v>1455</v>
      </c>
      <c r="B14" s="560" t="s">
        <v>1456</v>
      </c>
      <c r="C14" s="560" t="s">
        <v>53</v>
      </c>
      <c r="D14" s="561">
        <v>41578</v>
      </c>
      <c r="E14" s="562">
        <v>17850</v>
      </c>
      <c r="F14" s="563">
        <v>3.78</v>
      </c>
      <c r="G14" s="504">
        <f t="shared" ref="G14:G21" si="0">SUM(E14*F14)</f>
        <v>67473</v>
      </c>
      <c r="H14" s="505"/>
      <c r="I14" s="598">
        <v>3.7</v>
      </c>
      <c r="J14" s="563">
        <v>3.81</v>
      </c>
      <c r="K14" s="507">
        <f t="shared" ref="K14:K21" si="1">SUM(E14*J14)</f>
        <v>68008.5</v>
      </c>
      <c r="L14" s="508">
        <f t="shared" ref="L14:L21" si="2">SUM(K14-G14)</f>
        <v>535.5</v>
      </c>
      <c r="M14" s="483">
        <v>1</v>
      </c>
      <c r="N14" s="509">
        <f t="shared" ref="N14:N21" si="3">SUM(L14*M14)</f>
        <v>535.5</v>
      </c>
      <c r="O14" s="378"/>
      <c r="P14" s="123"/>
    </row>
    <row r="15" spans="1:16" s="117" customFormat="1" ht="15" customHeight="1" x14ac:dyDescent="0.25">
      <c r="A15" s="14" t="s">
        <v>1336</v>
      </c>
      <c r="B15" s="560" t="s">
        <v>1337</v>
      </c>
      <c r="C15" s="560" t="s">
        <v>53</v>
      </c>
      <c r="D15" s="561">
        <v>41527</v>
      </c>
      <c r="E15" s="562">
        <v>11288</v>
      </c>
      <c r="F15" s="563">
        <v>4.67</v>
      </c>
      <c r="G15" s="504">
        <f t="shared" si="0"/>
        <v>52714.96</v>
      </c>
      <c r="H15" s="505"/>
      <c r="I15" s="598">
        <v>4.57</v>
      </c>
      <c r="J15" s="563">
        <v>4.6900000000000004</v>
      </c>
      <c r="K15" s="507">
        <f t="shared" si="1"/>
        <v>52940.72</v>
      </c>
      <c r="L15" s="508">
        <f t="shared" si="2"/>
        <v>225.76000000000204</v>
      </c>
      <c r="M15" s="483">
        <v>0.92264000000000002</v>
      </c>
      <c r="N15" s="509">
        <f t="shared" si="3"/>
        <v>208.29520640000189</v>
      </c>
      <c r="O15" s="378"/>
      <c r="P15" s="123"/>
    </row>
    <row r="16" spans="1:16" s="117" customFormat="1" ht="15" customHeight="1" x14ac:dyDescent="0.25">
      <c r="A16" s="14" t="s">
        <v>1438</v>
      </c>
      <c r="B16" s="560" t="s">
        <v>1439</v>
      </c>
      <c r="C16" s="560" t="s">
        <v>53</v>
      </c>
      <c r="D16" s="561">
        <v>41568</v>
      </c>
      <c r="E16" s="562">
        <v>6583</v>
      </c>
      <c r="F16" s="563">
        <v>10.59</v>
      </c>
      <c r="G16" s="504">
        <f t="shared" si="0"/>
        <v>69713.97</v>
      </c>
      <c r="H16" s="505"/>
      <c r="I16" s="598">
        <v>10.64</v>
      </c>
      <c r="J16" s="563">
        <v>11.04</v>
      </c>
      <c r="K16" s="507">
        <f t="shared" si="1"/>
        <v>72676.319999999992</v>
      </c>
      <c r="L16" s="508">
        <f t="shared" si="2"/>
        <v>2962.3499999999913</v>
      </c>
      <c r="M16" s="483">
        <v>0.95830000000000004</v>
      </c>
      <c r="N16" s="509">
        <f t="shared" si="3"/>
        <v>2838.8200049999919</v>
      </c>
      <c r="O16" s="378"/>
      <c r="P16" s="123"/>
    </row>
    <row r="17" spans="1:16" s="117" customFormat="1" ht="15" customHeight="1" x14ac:dyDescent="0.25">
      <c r="A17" s="14" t="s">
        <v>1296</v>
      </c>
      <c r="B17" s="560" t="s">
        <v>153</v>
      </c>
      <c r="C17" s="560" t="s">
        <v>53</v>
      </c>
      <c r="D17" s="561">
        <v>41505</v>
      </c>
      <c r="E17" s="562">
        <v>8578</v>
      </c>
      <c r="F17" s="563">
        <v>4.4800000000000004</v>
      </c>
      <c r="G17" s="504">
        <f t="shared" si="0"/>
        <v>38429.440000000002</v>
      </c>
      <c r="H17" s="505"/>
      <c r="I17" s="598">
        <v>5.75</v>
      </c>
      <c r="J17" s="563">
        <v>6</v>
      </c>
      <c r="K17" s="507">
        <f t="shared" si="1"/>
        <v>51468</v>
      </c>
      <c r="L17" s="508">
        <f t="shared" si="2"/>
        <v>13038.559999999998</v>
      </c>
      <c r="M17" s="483">
        <v>0.91854000000000002</v>
      </c>
      <c r="N17" s="509">
        <f t="shared" si="3"/>
        <v>11976.438902399997</v>
      </c>
      <c r="O17" s="378"/>
      <c r="P17" s="123"/>
    </row>
    <row r="18" spans="1:16" s="117" customFormat="1" ht="15" customHeight="1" x14ac:dyDescent="0.25">
      <c r="A18" s="14" t="s">
        <v>975</v>
      </c>
      <c r="B18" s="560" t="s">
        <v>219</v>
      </c>
      <c r="C18" s="560" t="s">
        <v>53</v>
      </c>
      <c r="D18" s="561">
        <v>41528</v>
      </c>
      <c r="E18" s="562">
        <v>14110</v>
      </c>
      <c r="F18" s="563">
        <v>2.44</v>
      </c>
      <c r="G18" s="504">
        <f t="shared" si="0"/>
        <v>34428.400000000001</v>
      </c>
      <c r="H18" s="505"/>
      <c r="I18" s="598">
        <v>2.58</v>
      </c>
      <c r="J18" s="563">
        <v>2.67</v>
      </c>
      <c r="K18" s="507">
        <f t="shared" si="1"/>
        <v>37673.699999999997</v>
      </c>
      <c r="L18" s="508">
        <f t="shared" si="2"/>
        <v>3245.2999999999956</v>
      </c>
      <c r="M18" s="483">
        <v>0.93106999999999995</v>
      </c>
      <c r="N18" s="509">
        <f t="shared" si="3"/>
        <v>3021.6014709999959</v>
      </c>
      <c r="O18" s="378"/>
      <c r="P18" s="123"/>
    </row>
    <row r="19" spans="1:16" s="117" customFormat="1" ht="15" customHeight="1" x14ac:dyDescent="0.25">
      <c r="A19" s="14" t="s">
        <v>1457</v>
      </c>
      <c r="B19" s="560" t="s">
        <v>1458</v>
      </c>
      <c r="C19" s="560" t="s">
        <v>53</v>
      </c>
      <c r="D19" s="561">
        <v>41577</v>
      </c>
      <c r="E19" s="562">
        <v>10984</v>
      </c>
      <c r="F19" s="563">
        <v>6.13</v>
      </c>
      <c r="G19" s="504">
        <f t="shared" si="0"/>
        <v>67331.92</v>
      </c>
      <c r="H19" s="505"/>
      <c r="I19" s="598">
        <v>5.87</v>
      </c>
      <c r="J19" s="563">
        <v>6.12</v>
      </c>
      <c r="K19" s="507">
        <f t="shared" si="1"/>
        <v>67222.080000000002</v>
      </c>
      <c r="L19" s="508">
        <f t="shared" si="2"/>
        <v>-109.83999999999651</v>
      </c>
      <c r="M19" s="483">
        <v>1</v>
      </c>
      <c r="N19" s="509">
        <f t="shared" si="3"/>
        <v>-109.83999999999651</v>
      </c>
      <c r="O19" s="378"/>
      <c r="P19" s="123"/>
    </row>
    <row r="20" spans="1:16" s="117" customFormat="1" ht="15" customHeight="1" x14ac:dyDescent="0.25">
      <c r="A20" s="14" t="s">
        <v>1475</v>
      </c>
      <c r="B20" s="500" t="s">
        <v>1476</v>
      </c>
      <c r="C20" s="500" t="s">
        <v>53</v>
      </c>
      <c r="D20" s="501">
        <v>41592</v>
      </c>
      <c r="E20" s="502">
        <v>6108</v>
      </c>
      <c r="F20" s="503">
        <v>11.78</v>
      </c>
      <c r="G20" s="504">
        <f t="shared" si="0"/>
        <v>71952.239999999991</v>
      </c>
      <c r="H20" s="505"/>
      <c r="I20" s="506">
        <v>10.85</v>
      </c>
      <c r="J20" s="503">
        <v>12.03</v>
      </c>
      <c r="K20" s="507">
        <f t="shared" si="1"/>
        <v>73479.239999999991</v>
      </c>
      <c r="L20" s="508">
        <f t="shared" si="2"/>
        <v>1527</v>
      </c>
      <c r="M20" s="483">
        <v>1</v>
      </c>
      <c r="N20" s="509">
        <f t="shared" si="3"/>
        <v>1527</v>
      </c>
      <c r="O20" s="378"/>
      <c r="P20" s="123"/>
    </row>
    <row r="21" spans="1:16" s="117" customFormat="1" ht="15" customHeight="1" x14ac:dyDescent="0.25">
      <c r="A21" s="14" t="s">
        <v>1326</v>
      </c>
      <c r="B21" s="560" t="s">
        <v>1327</v>
      </c>
      <c r="C21" s="560" t="s">
        <v>53</v>
      </c>
      <c r="D21" s="561">
        <v>41520</v>
      </c>
      <c r="E21" s="562">
        <v>5671</v>
      </c>
      <c r="F21" s="563">
        <v>8.49</v>
      </c>
      <c r="G21" s="504">
        <f t="shared" si="0"/>
        <v>48146.79</v>
      </c>
      <c r="H21" s="505"/>
      <c r="I21" s="598">
        <v>8.17</v>
      </c>
      <c r="J21" s="563">
        <v>8.44</v>
      </c>
      <c r="K21" s="507">
        <f t="shared" si="1"/>
        <v>47863.24</v>
      </c>
      <c r="L21" s="508">
        <f t="shared" si="2"/>
        <v>-283.55000000000291</v>
      </c>
      <c r="M21" s="483">
        <v>0.89749999999999996</v>
      </c>
      <c r="N21" s="509">
        <f t="shared" si="3"/>
        <v>-254.4861250000026</v>
      </c>
      <c r="O21" s="378"/>
      <c r="P21" s="123"/>
    </row>
    <row r="22" spans="1:16" s="117" customFormat="1" ht="15" customHeight="1" x14ac:dyDescent="0.25">
      <c r="A22" s="14" t="s">
        <v>1481</v>
      </c>
      <c r="B22" s="500" t="s">
        <v>447</v>
      </c>
      <c r="C22" s="500" t="s">
        <v>53</v>
      </c>
      <c r="D22" s="501">
        <v>41597</v>
      </c>
      <c r="E22" s="502">
        <v>6264</v>
      </c>
      <c r="F22" s="503">
        <v>16.670000000000002</v>
      </c>
      <c r="G22" s="504">
        <f>SUM(E22*F22)</f>
        <v>104420.88</v>
      </c>
      <c r="H22" s="505"/>
      <c r="I22" s="506">
        <v>15.97</v>
      </c>
      <c r="J22" s="503">
        <v>16.510000000000002</v>
      </c>
      <c r="K22" s="507">
        <f>SUM(E22*J22)</f>
        <v>103418.64000000001</v>
      </c>
      <c r="L22" s="508">
        <f>SUM(K22-G22)</f>
        <v>-1002.2399999999907</v>
      </c>
      <c r="M22" s="483">
        <v>1</v>
      </c>
      <c r="N22" s="509">
        <f>SUM(L22*M22)</f>
        <v>-1002.2399999999907</v>
      </c>
      <c r="O22" s="378"/>
      <c r="P22" s="123"/>
    </row>
    <row r="23" spans="1:16" s="8" customFormat="1" ht="15" customHeight="1" x14ac:dyDescent="0.25">
      <c r="A23" s="510"/>
      <c r="B23" s="510"/>
      <c r="C23" s="510"/>
      <c r="D23" s="522"/>
      <c r="E23" s="523"/>
      <c r="F23" s="524"/>
      <c r="G23" s="525"/>
      <c r="H23" s="522"/>
      <c r="I23" s="526"/>
      <c r="J23" s="527"/>
      <c r="K23" s="480"/>
      <c r="L23" s="528"/>
      <c r="M23" s="520"/>
      <c r="N23" s="529"/>
      <c r="O23" s="381"/>
      <c r="P23" s="121"/>
    </row>
    <row r="24" spans="1:16" s="14" customFormat="1" ht="16.5" thickBot="1" x14ac:dyDescent="0.3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95"/>
      <c r="M24" s="252"/>
      <c r="N24" s="240">
        <f>SUM(N13:N23)</f>
        <v>18741.089459799998</v>
      </c>
      <c r="O24" s="473"/>
      <c r="P24" s="120"/>
    </row>
    <row r="25" spans="1:16" s="14" customFormat="1" ht="8.25" customHeight="1" thickTop="1" x14ac:dyDescent="0.25">
      <c r="A25" s="48"/>
      <c r="B25" s="48"/>
      <c r="C25" s="48"/>
      <c r="D25" s="48"/>
      <c r="E25" s="48"/>
      <c r="F25" s="49"/>
      <c r="G25" s="49"/>
      <c r="H25" s="50"/>
      <c r="I25" s="51"/>
      <c r="J25" s="50"/>
      <c r="K25" s="49"/>
      <c r="L25" s="296"/>
      <c r="M25" s="253"/>
      <c r="N25" s="301"/>
      <c r="O25" s="474"/>
      <c r="P25" s="120"/>
    </row>
    <row r="26" spans="1:16" ht="11.25" customHeight="1" x14ac:dyDescent="0.25">
      <c r="A26" s="530"/>
      <c r="B26" s="530"/>
      <c r="C26" s="530"/>
      <c r="D26" s="531"/>
      <c r="E26" s="532"/>
      <c r="F26" s="533"/>
      <c r="G26" s="533"/>
      <c r="H26" s="531"/>
      <c r="I26" s="534"/>
      <c r="J26" s="531"/>
      <c r="K26" s="533"/>
      <c r="L26" s="535"/>
      <c r="M26" s="536"/>
      <c r="N26" s="537"/>
      <c r="O26" s="475"/>
    </row>
    <row r="27" spans="1:16" ht="11.25" customHeight="1" x14ac:dyDescent="0.25">
      <c r="A27" s="530"/>
      <c r="B27" s="530"/>
      <c r="C27" s="530"/>
      <c r="D27" s="532"/>
      <c r="E27" s="532"/>
      <c r="F27" s="533"/>
      <c r="G27" s="533"/>
      <c r="H27" s="532"/>
      <c r="I27" s="534"/>
      <c r="J27" s="532"/>
      <c r="K27" s="533"/>
      <c r="L27" s="535"/>
      <c r="M27" s="536"/>
      <c r="N27" s="537"/>
      <c r="O27" s="476"/>
    </row>
    <row r="28" spans="1:16" ht="6.75" customHeight="1" x14ac:dyDescent="0.25">
      <c r="A28" s="510"/>
      <c r="B28" s="510"/>
      <c r="C28" s="510"/>
      <c r="D28" s="538"/>
      <c r="E28" s="538"/>
      <c r="F28" s="524"/>
      <c r="G28" s="524"/>
      <c r="H28" s="538"/>
      <c r="I28" s="539"/>
      <c r="J28" s="538"/>
      <c r="K28" s="524"/>
      <c r="L28" s="528"/>
      <c r="M28" s="520"/>
      <c r="N28" s="529"/>
      <c r="O28" s="115"/>
    </row>
    <row r="29" spans="1:16" s="22" customFormat="1" ht="18.75" x14ac:dyDescent="0.3">
      <c r="A29" s="540"/>
      <c r="B29" s="541"/>
      <c r="C29" s="541"/>
      <c r="D29" s="541"/>
      <c r="E29" s="541" t="s">
        <v>22</v>
      </c>
      <c r="F29" s="542"/>
      <c r="G29" s="224"/>
      <c r="H29" s="541"/>
      <c r="I29" s="543"/>
      <c r="J29" s="541"/>
      <c r="K29" s="234">
        <f>SUM(N300)</f>
        <v>80015.291213923963</v>
      </c>
      <c r="L29" s="544"/>
      <c r="M29" s="545"/>
      <c r="N29" s="546"/>
      <c r="O29" s="477"/>
      <c r="P29" s="121"/>
    </row>
    <row r="30" spans="1:16" s="2" customFormat="1" ht="15.75" x14ac:dyDescent="0.25">
      <c r="A30" s="14"/>
      <c r="B30" s="14" t="s">
        <v>6</v>
      </c>
      <c r="C30" s="14" t="s">
        <v>181</v>
      </c>
      <c r="D30" s="14" t="s">
        <v>17</v>
      </c>
      <c r="E30" s="14" t="s">
        <v>26</v>
      </c>
      <c r="F30" s="305" t="s">
        <v>19</v>
      </c>
      <c r="G30" s="305" t="s">
        <v>669</v>
      </c>
      <c r="H30" s="14"/>
      <c r="I30" s="493" t="s">
        <v>29</v>
      </c>
      <c r="J30" s="14" t="s">
        <v>18</v>
      </c>
      <c r="K30" s="305" t="s">
        <v>671</v>
      </c>
      <c r="L30" s="494" t="s">
        <v>15</v>
      </c>
      <c r="M30" s="491" t="s">
        <v>10</v>
      </c>
      <c r="N30" s="492" t="s">
        <v>672</v>
      </c>
      <c r="O30" s="337"/>
      <c r="P30" s="120"/>
    </row>
    <row r="31" spans="1:16" s="2" customFormat="1" ht="15.75" x14ac:dyDescent="0.25">
      <c r="A31" s="14" t="s">
        <v>180</v>
      </c>
      <c r="B31" s="14" t="s">
        <v>0</v>
      </c>
      <c r="C31" s="14"/>
      <c r="D31" s="14" t="s">
        <v>25</v>
      </c>
      <c r="E31" s="14" t="s">
        <v>21</v>
      </c>
      <c r="F31" s="305" t="s">
        <v>20</v>
      </c>
      <c r="G31" s="305" t="s">
        <v>670</v>
      </c>
      <c r="H31" s="14"/>
      <c r="I31" s="493" t="s">
        <v>7</v>
      </c>
      <c r="J31" s="14" t="s">
        <v>20</v>
      </c>
      <c r="K31" s="305" t="s">
        <v>670</v>
      </c>
      <c r="L31" s="494" t="s">
        <v>670</v>
      </c>
      <c r="M31" s="491" t="s">
        <v>14</v>
      </c>
      <c r="N31" s="492"/>
      <c r="O31" s="337"/>
      <c r="P31" s="120"/>
    </row>
    <row r="32" spans="1:16" s="117" customFormat="1" ht="15" customHeight="1" x14ac:dyDescent="0.25">
      <c r="A32" s="495"/>
      <c r="B32" s="496"/>
      <c r="C32" s="496"/>
      <c r="D32" s="496"/>
      <c r="E32" s="496"/>
      <c r="F32" s="497"/>
      <c r="G32" s="498" t="s">
        <v>378</v>
      </c>
      <c r="H32" s="496"/>
      <c r="I32" s="547"/>
      <c r="J32" s="496"/>
      <c r="K32" s="497"/>
      <c r="L32" s="494" t="s">
        <v>378</v>
      </c>
      <c r="M32" s="491" t="s">
        <v>1300</v>
      </c>
      <c r="N32" s="492" t="s">
        <v>885</v>
      </c>
      <c r="P32" s="123"/>
    </row>
    <row r="33" spans="1:17" s="117" customFormat="1" ht="15" customHeight="1" x14ac:dyDescent="0.25">
      <c r="A33" s="510"/>
      <c r="B33" s="496"/>
      <c r="C33" s="496"/>
      <c r="D33" s="505"/>
      <c r="E33" s="505"/>
      <c r="F33" s="548"/>
      <c r="G33" s="504"/>
      <c r="H33" s="505"/>
      <c r="I33" s="547"/>
      <c r="J33" s="505"/>
      <c r="K33" s="548"/>
      <c r="L33" s="508"/>
      <c r="M33" s="549"/>
      <c r="N33" s="509"/>
      <c r="O33" s="378"/>
      <c r="P33" s="123"/>
    </row>
    <row r="34" spans="1:17" s="119" customFormat="1" ht="15" customHeight="1" x14ac:dyDescent="0.25">
      <c r="A34" s="511" t="s">
        <v>137</v>
      </c>
      <c r="B34" s="511" t="s">
        <v>182</v>
      </c>
      <c r="C34" s="511" t="s">
        <v>78</v>
      </c>
      <c r="D34" s="512">
        <v>40534</v>
      </c>
      <c r="E34" s="513">
        <v>4000</v>
      </c>
      <c r="F34" s="514">
        <v>2.2000000000000002</v>
      </c>
      <c r="G34" s="515">
        <f t="shared" ref="G34:G71" si="4">SUM(E34*F34)</f>
        <v>8800</v>
      </c>
      <c r="H34" s="516"/>
      <c r="I34" s="512">
        <v>40556</v>
      </c>
      <c r="J34" s="514">
        <v>2.1949999999999998</v>
      </c>
      <c r="K34" s="518">
        <f t="shared" ref="K34:K55" si="5">SUM(E34*J34)</f>
        <v>8780</v>
      </c>
      <c r="L34" s="508">
        <f>SUM(G34-K34)</f>
        <v>20</v>
      </c>
      <c r="M34" s="550">
        <v>0.99770000000000003</v>
      </c>
      <c r="N34" s="509">
        <f>SUM(L34*M34)</f>
        <v>19.954000000000001</v>
      </c>
      <c r="O34" s="377"/>
      <c r="P34" s="125"/>
      <c r="Q34" s="286"/>
    </row>
    <row r="35" spans="1:17" s="117" customFormat="1" ht="15" customHeight="1" x14ac:dyDescent="0.25">
      <c r="A35" s="500" t="s">
        <v>138</v>
      </c>
      <c r="B35" s="500" t="s">
        <v>183</v>
      </c>
      <c r="C35" s="500" t="s">
        <v>53</v>
      </c>
      <c r="D35" s="501">
        <v>40561</v>
      </c>
      <c r="E35" s="502">
        <v>1583</v>
      </c>
      <c r="F35" s="503">
        <v>7.0640000000000001</v>
      </c>
      <c r="G35" s="504">
        <f t="shared" si="4"/>
        <v>11182.312</v>
      </c>
      <c r="H35" s="505"/>
      <c r="I35" s="551">
        <v>40563</v>
      </c>
      <c r="J35" s="503">
        <v>6.7930000000000001</v>
      </c>
      <c r="K35" s="507">
        <f t="shared" si="5"/>
        <v>10753.319</v>
      </c>
      <c r="L35" s="508">
        <f>SUM(K35-G35)</f>
        <v>-428.99300000000039</v>
      </c>
      <c r="M35" s="549">
        <v>1.0004</v>
      </c>
      <c r="N35" s="509">
        <f t="shared" ref="N35:N98" si="6">SUM(L35*M35)</f>
        <v>-429.1645972000004</v>
      </c>
      <c r="O35" s="378"/>
      <c r="P35" s="126"/>
    </row>
    <row r="36" spans="1:17" s="117" customFormat="1" ht="15" customHeight="1" x14ac:dyDescent="0.25">
      <c r="A36" s="552" t="s">
        <v>141</v>
      </c>
      <c r="B36" s="552" t="s">
        <v>171</v>
      </c>
      <c r="C36" s="552" t="s">
        <v>53</v>
      </c>
      <c r="D36" s="551">
        <v>40562</v>
      </c>
      <c r="E36" s="553">
        <v>8064</v>
      </c>
      <c r="F36" s="554">
        <v>1.95</v>
      </c>
      <c r="G36" s="504">
        <f>SUM(E36*F36)</f>
        <v>15724.8</v>
      </c>
      <c r="H36" s="505"/>
      <c r="I36" s="551">
        <v>40567</v>
      </c>
      <c r="J36" s="554">
        <v>1.89</v>
      </c>
      <c r="K36" s="507">
        <f>SUM(E36*J36)</f>
        <v>15240.96</v>
      </c>
      <c r="L36" s="508">
        <f>SUM(K36-G36)</f>
        <v>-483.84000000000015</v>
      </c>
      <c r="M36" s="549">
        <v>0.9879</v>
      </c>
      <c r="N36" s="509">
        <f>SUM(L36*M36)</f>
        <v>-477.98553600000014</v>
      </c>
      <c r="O36" s="378"/>
      <c r="P36" s="126"/>
    </row>
    <row r="37" spans="1:17" s="119" customFormat="1" ht="15" customHeight="1" x14ac:dyDescent="0.25">
      <c r="A37" s="511" t="s">
        <v>140</v>
      </c>
      <c r="B37" s="511" t="s">
        <v>185</v>
      </c>
      <c r="C37" s="511" t="s">
        <v>78</v>
      </c>
      <c r="D37" s="512">
        <v>40568</v>
      </c>
      <c r="E37" s="513">
        <v>8000</v>
      </c>
      <c r="F37" s="514">
        <v>2.09</v>
      </c>
      <c r="G37" s="515">
        <f>SUM(E37*F37)</f>
        <v>16720</v>
      </c>
      <c r="H37" s="516"/>
      <c r="I37" s="512">
        <v>40568</v>
      </c>
      <c r="J37" s="514">
        <v>2.15</v>
      </c>
      <c r="K37" s="518">
        <f>SUM(E37*J37)</f>
        <v>17200</v>
      </c>
      <c r="L37" s="519">
        <f>SUM(G37-K37)</f>
        <v>-480</v>
      </c>
      <c r="M37" s="550">
        <v>0.99724000000000002</v>
      </c>
      <c r="N37" s="521">
        <f>SUM(L37*M37)</f>
        <v>-478.67520000000002</v>
      </c>
      <c r="O37" s="377"/>
      <c r="P37" s="125"/>
    </row>
    <row r="38" spans="1:17" s="117" customFormat="1" ht="15" customHeight="1" x14ac:dyDescent="0.25">
      <c r="A38" s="500" t="s">
        <v>139</v>
      </c>
      <c r="B38" s="500" t="s">
        <v>184</v>
      </c>
      <c r="C38" s="500" t="s">
        <v>53</v>
      </c>
      <c r="D38" s="501">
        <v>40560</v>
      </c>
      <c r="E38" s="502">
        <v>1560</v>
      </c>
      <c r="F38" s="503">
        <v>5.4</v>
      </c>
      <c r="G38" s="504">
        <f t="shared" si="4"/>
        <v>8424</v>
      </c>
      <c r="H38" s="505"/>
      <c r="I38" s="551">
        <v>40570</v>
      </c>
      <c r="J38" s="503">
        <v>4.92</v>
      </c>
      <c r="K38" s="507">
        <f t="shared" si="5"/>
        <v>7675.2</v>
      </c>
      <c r="L38" s="508">
        <f>SUM(K38-G38)</f>
        <v>-748.80000000000018</v>
      </c>
      <c r="M38" s="549">
        <v>0.99899000000000004</v>
      </c>
      <c r="N38" s="509">
        <f t="shared" si="6"/>
        <v>-748.04371200000026</v>
      </c>
      <c r="O38" s="378"/>
      <c r="P38" s="126"/>
    </row>
    <row r="39" spans="1:17" s="117" customFormat="1" ht="15" customHeight="1" x14ac:dyDescent="0.25">
      <c r="A39" s="552" t="s">
        <v>142</v>
      </c>
      <c r="B39" s="552" t="s">
        <v>143</v>
      </c>
      <c r="C39" s="552" t="s">
        <v>53</v>
      </c>
      <c r="D39" s="551">
        <v>40576</v>
      </c>
      <c r="E39" s="553">
        <v>5000</v>
      </c>
      <c r="F39" s="554">
        <v>6.2060000000000004</v>
      </c>
      <c r="G39" s="504">
        <f t="shared" si="4"/>
        <v>31030.000000000004</v>
      </c>
      <c r="H39" s="505"/>
      <c r="I39" s="551">
        <v>40578</v>
      </c>
      <c r="J39" s="554">
        <v>6.3140000000000001</v>
      </c>
      <c r="K39" s="507">
        <f t="shared" si="5"/>
        <v>31570</v>
      </c>
      <c r="L39" s="508">
        <f>SUM(K39-G39)</f>
        <v>539.99999999999636</v>
      </c>
      <c r="M39" s="549">
        <v>1.01508</v>
      </c>
      <c r="N39" s="509">
        <f t="shared" si="6"/>
        <v>548.14319999999634</v>
      </c>
      <c r="O39" s="378"/>
      <c r="P39" s="126"/>
    </row>
    <row r="40" spans="1:17" s="119" customFormat="1" ht="15" customHeight="1" x14ac:dyDescent="0.25">
      <c r="A40" s="511" t="s">
        <v>144</v>
      </c>
      <c r="B40" s="511" t="s">
        <v>186</v>
      </c>
      <c r="C40" s="511" t="s">
        <v>78</v>
      </c>
      <c r="D40" s="512">
        <v>40534</v>
      </c>
      <c r="E40" s="513">
        <v>1450</v>
      </c>
      <c r="F40" s="514">
        <v>5.83</v>
      </c>
      <c r="G40" s="515">
        <f t="shared" si="4"/>
        <v>8453.5</v>
      </c>
      <c r="H40" s="516"/>
      <c r="I40" s="512">
        <v>40581</v>
      </c>
      <c r="J40" s="514">
        <v>6.01</v>
      </c>
      <c r="K40" s="518">
        <f t="shared" si="5"/>
        <v>8714.5</v>
      </c>
      <c r="L40" s="519">
        <f>SUM(G40-K40)</f>
        <v>-261</v>
      </c>
      <c r="M40" s="550">
        <v>1.01305</v>
      </c>
      <c r="N40" s="521">
        <f t="shared" si="6"/>
        <v>-264.40604999999999</v>
      </c>
      <c r="O40" s="377"/>
      <c r="P40" s="125"/>
    </row>
    <row r="41" spans="1:17" s="119" customFormat="1" ht="15" customHeight="1" x14ac:dyDescent="0.25">
      <c r="A41" s="511" t="s">
        <v>145</v>
      </c>
      <c r="B41" s="511" t="s">
        <v>187</v>
      </c>
      <c r="C41" s="511" t="s">
        <v>78</v>
      </c>
      <c r="D41" s="512">
        <v>40567</v>
      </c>
      <c r="E41" s="513">
        <v>5000</v>
      </c>
      <c r="F41" s="514">
        <v>2.4620000000000002</v>
      </c>
      <c r="G41" s="515">
        <f t="shared" si="4"/>
        <v>12310.000000000002</v>
      </c>
      <c r="H41" s="516"/>
      <c r="I41" s="512">
        <v>40582</v>
      </c>
      <c r="J41" s="514">
        <v>2.6379999999999999</v>
      </c>
      <c r="K41" s="518">
        <f t="shared" si="5"/>
        <v>13190</v>
      </c>
      <c r="L41" s="519">
        <f>SUM(G41-K41)</f>
        <v>-879.99999999999818</v>
      </c>
      <c r="M41" s="550">
        <v>1.01329</v>
      </c>
      <c r="N41" s="521">
        <f t="shared" si="6"/>
        <v>-891.69519999999818</v>
      </c>
      <c r="O41" s="377"/>
      <c r="P41" s="125"/>
    </row>
    <row r="42" spans="1:17" s="119" customFormat="1" ht="15" customHeight="1" x14ac:dyDescent="0.25">
      <c r="A42" s="511" t="s">
        <v>146</v>
      </c>
      <c r="B42" s="511" t="s">
        <v>147</v>
      </c>
      <c r="C42" s="511" t="s">
        <v>78</v>
      </c>
      <c r="D42" s="512">
        <v>40583</v>
      </c>
      <c r="E42" s="513">
        <v>5000</v>
      </c>
      <c r="F42" s="514">
        <v>1.655</v>
      </c>
      <c r="G42" s="515">
        <f t="shared" si="4"/>
        <v>8275</v>
      </c>
      <c r="H42" s="516"/>
      <c r="I42" s="512">
        <v>40589</v>
      </c>
      <c r="J42" s="514">
        <v>1.7450000000000001</v>
      </c>
      <c r="K42" s="518">
        <f t="shared" si="5"/>
        <v>8725</v>
      </c>
      <c r="L42" s="519">
        <f>SUM(G42-K42)</f>
        <v>-450</v>
      </c>
      <c r="M42" s="550">
        <v>1.00268</v>
      </c>
      <c r="N42" s="521">
        <f t="shared" si="6"/>
        <v>-451.20600000000002</v>
      </c>
      <c r="O42" s="377"/>
      <c r="P42" s="125"/>
    </row>
    <row r="43" spans="1:17" s="119" customFormat="1" ht="15" customHeight="1" x14ac:dyDescent="0.25">
      <c r="A43" s="511" t="s">
        <v>148</v>
      </c>
      <c r="B43" s="511" t="s">
        <v>149</v>
      </c>
      <c r="C43" s="511" t="s">
        <v>78</v>
      </c>
      <c r="D43" s="512">
        <v>40590</v>
      </c>
      <c r="E43" s="513">
        <v>2500</v>
      </c>
      <c r="F43" s="514">
        <v>9.8800000000000008</v>
      </c>
      <c r="G43" s="515">
        <f t="shared" si="4"/>
        <v>24700.000000000004</v>
      </c>
      <c r="H43" s="516"/>
      <c r="I43" s="512">
        <v>40590</v>
      </c>
      <c r="J43" s="514">
        <v>9.93</v>
      </c>
      <c r="K43" s="518">
        <f t="shared" si="5"/>
        <v>24825</v>
      </c>
      <c r="L43" s="519">
        <f>SUM(G43-K43)</f>
        <v>-124.99999999999636</v>
      </c>
      <c r="M43" s="550">
        <v>0.99628000000000005</v>
      </c>
      <c r="N43" s="521">
        <f t="shared" si="6"/>
        <v>-124.53499999999639</v>
      </c>
      <c r="O43" s="377"/>
      <c r="P43" s="125"/>
    </row>
    <row r="44" spans="1:17" s="119" customFormat="1" ht="15" customHeight="1" x14ac:dyDescent="0.25">
      <c r="A44" s="511" t="s">
        <v>150</v>
      </c>
      <c r="B44" s="511" t="s">
        <v>151</v>
      </c>
      <c r="C44" s="511" t="s">
        <v>78</v>
      </c>
      <c r="D44" s="512">
        <v>40591</v>
      </c>
      <c r="E44" s="513">
        <v>200</v>
      </c>
      <c r="F44" s="514">
        <v>34.79</v>
      </c>
      <c r="G44" s="515">
        <f t="shared" si="4"/>
        <v>6958</v>
      </c>
      <c r="H44" s="516"/>
      <c r="I44" s="512">
        <v>40592</v>
      </c>
      <c r="J44" s="514">
        <v>33.880000000000003</v>
      </c>
      <c r="K44" s="518">
        <f t="shared" si="5"/>
        <v>6776.0000000000009</v>
      </c>
      <c r="L44" s="508">
        <f>SUM(G44-K44)</f>
        <v>181.99999999999909</v>
      </c>
      <c r="M44" s="550">
        <v>1.0117100000000001</v>
      </c>
      <c r="N44" s="509">
        <f t="shared" si="6"/>
        <v>184.1312199999991</v>
      </c>
      <c r="O44" s="377"/>
      <c r="P44" s="125"/>
    </row>
    <row r="45" spans="1:17" s="117" customFormat="1" ht="15" customHeight="1" x14ac:dyDescent="0.25">
      <c r="A45" s="500" t="s">
        <v>152</v>
      </c>
      <c r="B45" s="500" t="s">
        <v>153</v>
      </c>
      <c r="C45" s="500" t="s">
        <v>53</v>
      </c>
      <c r="D45" s="501">
        <v>40590</v>
      </c>
      <c r="E45" s="502">
        <v>1025</v>
      </c>
      <c r="F45" s="503">
        <v>5.04</v>
      </c>
      <c r="G45" s="504">
        <f t="shared" si="4"/>
        <v>5166</v>
      </c>
      <c r="H45" s="505"/>
      <c r="I45" s="551">
        <v>40595</v>
      </c>
      <c r="J45" s="503">
        <v>5.07</v>
      </c>
      <c r="K45" s="507">
        <f t="shared" si="5"/>
        <v>5196.75</v>
      </c>
      <c r="L45" s="508">
        <f>SUM(K45-G45)</f>
        <v>30.75</v>
      </c>
      <c r="M45" s="549">
        <v>1.01362</v>
      </c>
      <c r="N45" s="509">
        <f t="shared" si="6"/>
        <v>31.168814999999999</v>
      </c>
      <c r="O45" s="378"/>
      <c r="P45" s="126"/>
    </row>
    <row r="46" spans="1:17" s="117" customFormat="1" ht="15" customHeight="1" x14ac:dyDescent="0.25">
      <c r="A46" s="500" t="s">
        <v>154</v>
      </c>
      <c r="B46" s="500" t="s">
        <v>155</v>
      </c>
      <c r="C46" s="500" t="s">
        <v>53</v>
      </c>
      <c r="D46" s="501">
        <v>40590</v>
      </c>
      <c r="E46" s="502">
        <v>2000</v>
      </c>
      <c r="F46" s="503">
        <v>3.09</v>
      </c>
      <c r="G46" s="504">
        <f t="shared" si="4"/>
        <v>6180</v>
      </c>
      <c r="H46" s="505"/>
      <c r="I46" s="551">
        <v>40596</v>
      </c>
      <c r="J46" s="503">
        <v>3</v>
      </c>
      <c r="K46" s="507">
        <f t="shared" si="5"/>
        <v>6000</v>
      </c>
      <c r="L46" s="508">
        <f>SUM(K46-G46)</f>
        <v>-180</v>
      </c>
      <c r="M46" s="549">
        <v>1.00925</v>
      </c>
      <c r="N46" s="509">
        <f t="shared" si="6"/>
        <v>-181.66499999999999</v>
      </c>
      <c r="O46" s="378"/>
      <c r="P46" s="126"/>
    </row>
    <row r="47" spans="1:17" s="117" customFormat="1" ht="15" customHeight="1" x14ac:dyDescent="0.25">
      <c r="A47" s="500" t="s">
        <v>156</v>
      </c>
      <c r="B47" s="500" t="s">
        <v>157</v>
      </c>
      <c r="C47" s="500" t="s">
        <v>53</v>
      </c>
      <c r="D47" s="501">
        <v>40588</v>
      </c>
      <c r="E47" s="502">
        <v>8750</v>
      </c>
      <c r="F47" s="503">
        <v>1.24</v>
      </c>
      <c r="G47" s="504">
        <f t="shared" si="4"/>
        <v>10850</v>
      </c>
      <c r="H47" s="505"/>
      <c r="I47" s="551">
        <v>40596</v>
      </c>
      <c r="J47" s="503">
        <v>1.1499999999999999</v>
      </c>
      <c r="K47" s="507">
        <f t="shared" si="5"/>
        <v>10062.5</v>
      </c>
      <c r="L47" s="508">
        <f>SUM(K47-G47)</f>
        <v>-787.5</v>
      </c>
      <c r="M47" s="549">
        <v>1.00925</v>
      </c>
      <c r="N47" s="509">
        <f t="shared" si="6"/>
        <v>-794.78437499999995</v>
      </c>
      <c r="O47" s="378"/>
      <c r="P47" s="126"/>
    </row>
    <row r="48" spans="1:17" s="119" customFormat="1" ht="15" customHeight="1" x14ac:dyDescent="0.25">
      <c r="A48" s="511" t="s">
        <v>158</v>
      </c>
      <c r="B48" s="511" t="s">
        <v>188</v>
      </c>
      <c r="C48" s="511" t="s">
        <v>78</v>
      </c>
      <c r="D48" s="512">
        <v>40534</v>
      </c>
      <c r="E48" s="513">
        <v>500</v>
      </c>
      <c r="F48" s="514">
        <v>18.16</v>
      </c>
      <c r="G48" s="515">
        <f t="shared" si="4"/>
        <v>9080</v>
      </c>
      <c r="H48" s="516"/>
      <c r="I48" s="512">
        <v>40596</v>
      </c>
      <c r="J48" s="514">
        <v>17.21</v>
      </c>
      <c r="K48" s="518">
        <f t="shared" si="5"/>
        <v>8605</v>
      </c>
      <c r="L48" s="508">
        <f>SUM(G48-K48)</f>
        <v>475</v>
      </c>
      <c r="M48" s="549">
        <v>1.00925</v>
      </c>
      <c r="N48" s="509">
        <f t="shared" si="6"/>
        <v>479.39375000000001</v>
      </c>
      <c r="O48" s="377"/>
      <c r="P48" s="125"/>
    </row>
    <row r="49" spans="1:16" s="117" customFormat="1" ht="15" customHeight="1" x14ac:dyDescent="0.25">
      <c r="A49" s="552" t="s">
        <v>159</v>
      </c>
      <c r="B49" s="552" t="s">
        <v>160</v>
      </c>
      <c r="C49" s="552" t="s">
        <v>53</v>
      </c>
      <c r="D49" s="551">
        <v>40562</v>
      </c>
      <c r="E49" s="553">
        <v>864</v>
      </c>
      <c r="F49" s="554">
        <v>0.82</v>
      </c>
      <c r="G49" s="504">
        <f t="shared" si="4"/>
        <v>708.4799999999999</v>
      </c>
      <c r="H49" s="505"/>
      <c r="I49" s="551">
        <v>40596</v>
      </c>
      <c r="J49" s="554">
        <v>0.75800000000000001</v>
      </c>
      <c r="K49" s="507">
        <f t="shared" si="5"/>
        <v>654.91200000000003</v>
      </c>
      <c r="L49" s="508">
        <f t="shared" ref="L49:L67" si="7">SUM(K49-G49)</f>
        <v>-53.56799999999987</v>
      </c>
      <c r="M49" s="549">
        <v>1.00925</v>
      </c>
      <c r="N49" s="509">
        <f t="shared" si="6"/>
        <v>-54.063503999999867</v>
      </c>
      <c r="O49" s="378"/>
      <c r="P49" s="126"/>
    </row>
    <row r="50" spans="1:16" s="117" customFormat="1" ht="15" customHeight="1" x14ac:dyDescent="0.25">
      <c r="A50" s="500" t="s">
        <v>161</v>
      </c>
      <c r="B50" s="500" t="s">
        <v>162</v>
      </c>
      <c r="C50" s="500" t="s">
        <v>53</v>
      </c>
      <c r="D50" s="501">
        <v>40589</v>
      </c>
      <c r="E50" s="502">
        <v>1700</v>
      </c>
      <c r="F50" s="503">
        <v>3.15</v>
      </c>
      <c r="G50" s="504">
        <f t="shared" si="4"/>
        <v>5355</v>
      </c>
      <c r="H50" s="505"/>
      <c r="I50" s="551">
        <v>40596</v>
      </c>
      <c r="J50" s="503">
        <v>3.09</v>
      </c>
      <c r="K50" s="507">
        <f t="shared" si="5"/>
        <v>5253</v>
      </c>
      <c r="L50" s="508">
        <f t="shared" si="7"/>
        <v>-102</v>
      </c>
      <c r="M50" s="549">
        <v>1.00925</v>
      </c>
      <c r="N50" s="509">
        <f t="shared" si="6"/>
        <v>-102.9435</v>
      </c>
      <c r="O50" s="378"/>
      <c r="P50" s="126"/>
    </row>
    <row r="51" spans="1:16" s="117" customFormat="1" ht="15" customHeight="1" x14ac:dyDescent="0.25">
      <c r="A51" s="500" t="s">
        <v>163</v>
      </c>
      <c r="B51" s="500" t="s">
        <v>164</v>
      </c>
      <c r="C51" s="500" t="s">
        <v>53</v>
      </c>
      <c r="D51" s="501">
        <v>40588</v>
      </c>
      <c r="E51" s="555">
        <v>200</v>
      </c>
      <c r="F51" s="502">
        <v>26.58</v>
      </c>
      <c r="G51" s="504">
        <f t="shared" si="4"/>
        <v>5316</v>
      </c>
      <c r="H51" s="505"/>
      <c r="I51" s="551">
        <v>40596</v>
      </c>
      <c r="J51" s="503">
        <v>26.18</v>
      </c>
      <c r="K51" s="507">
        <f t="shared" si="5"/>
        <v>5236</v>
      </c>
      <c r="L51" s="508">
        <f t="shared" si="7"/>
        <v>-80</v>
      </c>
      <c r="M51" s="549">
        <v>1.00925</v>
      </c>
      <c r="N51" s="509">
        <f t="shared" si="6"/>
        <v>-80.739999999999995</v>
      </c>
      <c r="O51" s="378"/>
      <c r="P51" s="126"/>
    </row>
    <row r="52" spans="1:16" s="117" customFormat="1" ht="15" customHeight="1" x14ac:dyDescent="0.25">
      <c r="A52" s="500" t="s">
        <v>165</v>
      </c>
      <c r="B52" s="500" t="s">
        <v>166</v>
      </c>
      <c r="C52" s="552" t="s">
        <v>53</v>
      </c>
      <c r="D52" s="501">
        <v>40595</v>
      </c>
      <c r="E52" s="502">
        <v>1800</v>
      </c>
      <c r="F52" s="503">
        <v>3</v>
      </c>
      <c r="G52" s="504">
        <f t="shared" si="4"/>
        <v>5400</v>
      </c>
      <c r="H52" s="505"/>
      <c r="I52" s="551">
        <v>40596</v>
      </c>
      <c r="J52" s="503">
        <v>2.85</v>
      </c>
      <c r="K52" s="507">
        <f t="shared" si="5"/>
        <v>5130</v>
      </c>
      <c r="L52" s="508">
        <f t="shared" si="7"/>
        <v>-270</v>
      </c>
      <c r="M52" s="549">
        <v>1.00925</v>
      </c>
      <c r="N52" s="509">
        <f t="shared" si="6"/>
        <v>-272.4975</v>
      </c>
      <c r="O52" s="378"/>
      <c r="P52" s="126"/>
    </row>
    <row r="53" spans="1:16" s="117" customFormat="1" ht="15" customHeight="1" x14ac:dyDescent="0.25">
      <c r="A53" s="500" t="s">
        <v>167</v>
      </c>
      <c r="B53" s="500" t="s">
        <v>168</v>
      </c>
      <c r="C53" s="500" t="s">
        <v>53</v>
      </c>
      <c r="D53" s="501">
        <v>40583</v>
      </c>
      <c r="E53" s="502">
        <v>1103</v>
      </c>
      <c r="F53" s="503">
        <v>24.79</v>
      </c>
      <c r="G53" s="504">
        <f t="shared" si="4"/>
        <v>27343.37</v>
      </c>
      <c r="H53" s="505"/>
      <c r="I53" s="551">
        <v>40597</v>
      </c>
      <c r="J53" s="503">
        <v>24.21</v>
      </c>
      <c r="K53" s="507">
        <f t="shared" si="5"/>
        <v>26703.63</v>
      </c>
      <c r="L53" s="508">
        <f t="shared" si="7"/>
        <v>-639.73999999999796</v>
      </c>
      <c r="M53" s="549">
        <v>0.99858000000000002</v>
      </c>
      <c r="N53" s="509">
        <f t="shared" si="6"/>
        <v>-638.83156919999794</v>
      </c>
      <c r="O53" s="378"/>
      <c r="P53" s="126"/>
    </row>
    <row r="54" spans="1:16" s="117" customFormat="1" ht="15" customHeight="1" x14ac:dyDescent="0.25">
      <c r="A54" s="500" t="s">
        <v>169</v>
      </c>
      <c r="B54" s="500" t="s">
        <v>170</v>
      </c>
      <c r="C54" s="500" t="s">
        <v>53</v>
      </c>
      <c r="D54" s="501">
        <v>40568</v>
      </c>
      <c r="E54" s="502">
        <v>954</v>
      </c>
      <c r="F54" s="503">
        <v>9.41</v>
      </c>
      <c r="G54" s="504">
        <f t="shared" si="4"/>
        <v>8977.14</v>
      </c>
      <c r="H54" s="505"/>
      <c r="I54" s="551">
        <v>40597</v>
      </c>
      <c r="J54" s="503">
        <v>8.6820000000000004</v>
      </c>
      <c r="K54" s="507">
        <f t="shared" si="5"/>
        <v>8282.6280000000006</v>
      </c>
      <c r="L54" s="508">
        <f t="shared" si="7"/>
        <v>-694.51199999999881</v>
      </c>
      <c r="M54" s="549">
        <v>0.99858000000000002</v>
      </c>
      <c r="N54" s="509">
        <f t="shared" si="6"/>
        <v>-693.52579295999885</v>
      </c>
      <c r="O54" s="378"/>
      <c r="P54" s="126"/>
    </row>
    <row r="55" spans="1:16" s="117" customFormat="1" ht="15" customHeight="1" x14ac:dyDescent="0.25">
      <c r="A55" s="500" t="s">
        <v>141</v>
      </c>
      <c r="B55" s="500" t="s">
        <v>171</v>
      </c>
      <c r="C55" s="500" t="s">
        <v>53</v>
      </c>
      <c r="D55" s="501">
        <v>40589</v>
      </c>
      <c r="E55" s="502">
        <v>2650</v>
      </c>
      <c r="F55" s="503">
        <v>1.9948999999999999</v>
      </c>
      <c r="G55" s="504">
        <f t="shared" si="4"/>
        <v>5286.4849999999997</v>
      </c>
      <c r="H55" s="505"/>
      <c r="I55" s="551">
        <v>40597</v>
      </c>
      <c r="J55" s="503">
        <v>1.845</v>
      </c>
      <c r="K55" s="507">
        <f t="shared" si="5"/>
        <v>4889.25</v>
      </c>
      <c r="L55" s="508">
        <f t="shared" si="7"/>
        <v>-397.23499999999967</v>
      </c>
      <c r="M55" s="549">
        <v>0.99858000000000002</v>
      </c>
      <c r="N55" s="509">
        <f t="shared" si="6"/>
        <v>-396.67092629999968</v>
      </c>
      <c r="O55" s="378"/>
      <c r="P55" s="126"/>
    </row>
    <row r="56" spans="1:16" s="8" customFormat="1" ht="15" customHeight="1" x14ac:dyDescent="0.25">
      <c r="A56" s="500" t="s">
        <v>172</v>
      </c>
      <c r="B56" s="500" t="s">
        <v>173</v>
      </c>
      <c r="C56" s="500" t="s">
        <v>53</v>
      </c>
      <c r="D56" s="501">
        <v>40595</v>
      </c>
      <c r="E56" s="502">
        <v>8000</v>
      </c>
      <c r="F56" s="503">
        <v>0.68</v>
      </c>
      <c r="G56" s="504">
        <f t="shared" si="4"/>
        <v>5440</v>
      </c>
      <c r="H56" s="556"/>
      <c r="I56" s="551">
        <v>40597</v>
      </c>
      <c r="J56" s="503">
        <v>0.62</v>
      </c>
      <c r="K56" s="507">
        <f t="shared" ref="K56:K69" si="8">SUM(E56*J56)</f>
        <v>4960</v>
      </c>
      <c r="L56" s="508">
        <f t="shared" si="7"/>
        <v>-480</v>
      </c>
      <c r="M56" s="549">
        <v>0.99858000000000002</v>
      </c>
      <c r="N56" s="509">
        <f t="shared" si="6"/>
        <v>-479.3184</v>
      </c>
      <c r="O56" s="374"/>
      <c r="P56" s="126"/>
    </row>
    <row r="57" spans="1:16" s="8" customFormat="1" ht="15" customHeight="1" x14ac:dyDescent="0.25">
      <c r="A57" s="500" t="s">
        <v>174</v>
      </c>
      <c r="B57" s="500" t="s">
        <v>175</v>
      </c>
      <c r="C57" s="500" t="s">
        <v>53</v>
      </c>
      <c r="D57" s="501">
        <v>40590</v>
      </c>
      <c r="E57" s="502">
        <v>6000</v>
      </c>
      <c r="F57" s="503">
        <v>0.89</v>
      </c>
      <c r="G57" s="504">
        <f t="shared" si="4"/>
        <v>5340</v>
      </c>
      <c r="H57" s="557"/>
      <c r="I57" s="551">
        <v>40597</v>
      </c>
      <c r="J57" s="503">
        <v>0.86</v>
      </c>
      <c r="K57" s="507">
        <f t="shared" si="8"/>
        <v>5160</v>
      </c>
      <c r="L57" s="508">
        <f t="shared" si="7"/>
        <v>-180</v>
      </c>
      <c r="M57" s="549">
        <v>0.99858000000000002</v>
      </c>
      <c r="N57" s="509">
        <f t="shared" si="6"/>
        <v>-179.74440000000001</v>
      </c>
      <c r="O57" s="374"/>
      <c r="P57" s="126"/>
    </row>
    <row r="58" spans="1:16" s="8" customFormat="1" ht="15" customHeight="1" x14ac:dyDescent="0.25">
      <c r="A58" s="500" t="s">
        <v>176</v>
      </c>
      <c r="B58" s="500" t="s">
        <v>177</v>
      </c>
      <c r="C58" s="500" t="s">
        <v>53</v>
      </c>
      <c r="D58" s="501">
        <v>40588</v>
      </c>
      <c r="E58" s="502">
        <v>750</v>
      </c>
      <c r="F58" s="503">
        <v>6.76</v>
      </c>
      <c r="G58" s="504">
        <f t="shared" si="4"/>
        <v>5070</v>
      </c>
      <c r="H58" s="557"/>
      <c r="I58" s="551">
        <v>40611</v>
      </c>
      <c r="J58" s="503">
        <v>6.14</v>
      </c>
      <c r="K58" s="507">
        <f t="shared" si="8"/>
        <v>4605</v>
      </c>
      <c r="L58" s="508">
        <f t="shared" si="7"/>
        <v>-465</v>
      </c>
      <c r="M58" s="549">
        <v>1.00966</v>
      </c>
      <c r="N58" s="509">
        <f t="shared" si="6"/>
        <v>-469.49189999999999</v>
      </c>
      <c r="O58" s="374"/>
      <c r="P58" s="126"/>
    </row>
    <row r="59" spans="1:16" s="8" customFormat="1" ht="15" customHeight="1" x14ac:dyDescent="0.25">
      <c r="A59" s="500" t="s">
        <v>178</v>
      </c>
      <c r="B59" s="500" t="s">
        <v>179</v>
      </c>
      <c r="C59" s="500" t="s">
        <v>53</v>
      </c>
      <c r="D59" s="501">
        <v>40588</v>
      </c>
      <c r="E59" s="502">
        <v>2383</v>
      </c>
      <c r="F59" s="503">
        <v>5.34</v>
      </c>
      <c r="G59" s="504">
        <f t="shared" si="4"/>
        <v>12725.22</v>
      </c>
      <c r="H59" s="557"/>
      <c r="I59" s="551">
        <v>40612</v>
      </c>
      <c r="J59" s="503">
        <v>5.149</v>
      </c>
      <c r="K59" s="507">
        <f t="shared" si="8"/>
        <v>12270.067000000001</v>
      </c>
      <c r="L59" s="508">
        <f t="shared" si="7"/>
        <v>-455.15299999999843</v>
      </c>
      <c r="M59" s="549">
        <v>1.0105900000000001</v>
      </c>
      <c r="N59" s="509">
        <f t="shared" si="6"/>
        <v>-459.97307026999846</v>
      </c>
      <c r="O59" s="374"/>
      <c r="P59" s="126"/>
    </row>
    <row r="60" spans="1:16" s="8" customFormat="1" ht="15" customHeight="1" x14ac:dyDescent="0.25">
      <c r="A60" s="500" t="s">
        <v>189</v>
      </c>
      <c r="B60" s="500" t="s">
        <v>190</v>
      </c>
      <c r="C60" s="500" t="s">
        <v>53</v>
      </c>
      <c r="D60" s="501">
        <v>40595</v>
      </c>
      <c r="E60" s="502">
        <v>790</v>
      </c>
      <c r="F60" s="503">
        <v>6.95</v>
      </c>
      <c r="G60" s="504">
        <f t="shared" si="4"/>
        <v>5490.5</v>
      </c>
      <c r="H60" s="558"/>
      <c r="I60" s="501">
        <v>40612</v>
      </c>
      <c r="J60" s="554">
        <v>6.33</v>
      </c>
      <c r="K60" s="507">
        <f t="shared" si="8"/>
        <v>5000.7</v>
      </c>
      <c r="L60" s="508">
        <f t="shared" si="7"/>
        <v>-489.80000000000018</v>
      </c>
      <c r="M60" s="549">
        <v>1.0105900000000001</v>
      </c>
      <c r="N60" s="509">
        <f t="shared" si="6"/>
        <v>-494.98698200000024</v>
      </c>
      <c r="O60" s="374"/>
      <c r="P60" s="126"/>
    </row>
    <row r="61" spans="1:16" s="8" customFormat="1" ht="15" customHeight="1" x14ac:dyDescent="0.25">
      <c r="A61" s="500" t="s">
        <v>191</v>
      </c>
      <c r="B61" s="500" t="s">
        <v>192</v>
      </c>
      <c r="C61" s="500" t="s">
        <v>53</v>
      </c>
      <c r="D61" s="501">
        <v>40603</v>
      </c>
      <c r="E61" s="502">
        <v>350</v>
      </c>
      <c r="F61" s="503">
        <v>15.61</v>
      </c>
      <c r="G61" s="504">
        <f t="shared" si="4"/>
        <v>5463.5</v>
      </c>
      <c r="H61" s="558"/>
      <c r="I61" s="501">
        <v>40613</v>
      </c>
      <c r="J61" s="554">
        <v>14.37</v>
      </c>
      <c r="K61" s="507">
        <f t="shared" si="8"/>
        <v>5029.5</v>
      </c>
      <c r="L61" s="508">
        <f t="shared" si="7"/>
        <v>-434</v>
      </c>
      <c r="M61" s="549">
        <v>1.0005900000000001</v>
      </c>
      <c r="N61" s="509">
        <f t="shared" si="6"/>
        <v>-434.25606000000005</v>
      </c>
      <c r="O61" s="374"/>
      <c r="P61" s="121"/>
    </row>
    <row r="62" spans="1:16" s="8" customFormat="1" ht="15" customHeight="1" x14ac:dyDescent="0.25">
      <c r="A62" s="500" t="s">
        <v>193</v>
      </c>
      <c r="B62" s="500" t="s">
        <v>194</v>
      </c>
      <c r="C62" s="500" t="s">
        <v>53</v>
      </c>
      <c r="D62" s="501">
        <v>40595</v>
      </c>
      <c r="E62" s="502">
        <v>340</v>
      </c>
      <c r="F62" s="503">
        <v>15.79</v>
      </c>
      <c r="G62" s="504">
        <f t="shared" si="4"/>
        <v>5368.5999999999995</v>
      </c>
      <c r="H62" s="558"/>
      <c r="I62" s="501">
        <v>40613</v>
      </c>
      <c r="J62" s="554">
        <v>15.19</v>
      </c>
      <c r="K62" s="507">
        <f t="shared" si="8"/>
        <v>5164.5999999999995</v>
      </c>
      <c r="L62" s="508">
        <f t="shared" si="7"/>
        <v>-204</v>
      </c>
      <c r="M62" s="549">
        <v>1.0005900000000001</v>
      </c>
      <c r="N62" s="509">
        <f t="shared" si="6"/>
        <v>-204.12036000000001</v>
      </c>
      <c r="O62" s="374"/>
      <c r="P62" s="121"/>
    </row>
    <row r="63" spans="1:16" s="8" customFormat="1" ht="15" customHeight="1" x14ac:dyDescent="0.25">
      <c r="A63" s="500" t="s">
        <v>195</v>
      </c>
      <c r="B63" s="500" t="s">
        <v>196</v>
      </c>
      <c r="C63" s="500" t="s">
        <v>53</v>
      </c>
      <c r="D63" s="501">
        <v>40609</v>
      </c>
      <c r="E63" s="502">
        <v>238</v>
      </c>
      <c r="F63" s="503">
        <v>31.61</v>
      </c>
      <c r="G63" s="504">
        <f t="shared" si="4"/>
        <v>7523.18</v>
      </c>
      <c r="H63" s="558"/>
      <c r="I63" s="501">
        <v>40613</v>
      </c>
      <c r="J63" s="554">
        <v>30.06</v>
      </c>
      <c r="K63" s="507">
        <f t="shared" si="8"/>
        <v>7154.28</v>
      </c>
      <c r="L63" s="508">
        <f t="shared" si="7"/>
        <v>-368.90000000000055</v>
      </c>
      <c r="M63" s="549">
        <v>1.0005900000000001</v>
      </c>
      <c r="N63" s="509">
        <f t="shared" si="6"/>
        <v>-369.11765100000059</v>
      </c>
      <c r="O63" s="374"/>
      <c r="P63" s="121"/>
    </row>
    <row r="64" spans="1:16" s="8" customFormat="1" ht="15" customHeight="1" x14ac:dyDescent="0.25">
      <c r="A64" s="500" t="s">
        <v>197</v>
      </c>
      <c r="B64" s="500" t="s">
        <v>270</v>
      </c>
      <c r="C64" s="500" t="s">
        <v>53</v>
      </c>
      <c r="D64" s="501">
        <v>40567</v>
      </c>
      <c r="E64" s="502">
        <v>11700</v>
      </c>
      <c r="F64" s="503">
        <v>0.57999999999999996</v>
      </c>
      <c r="G64" s="504">
        <f t="shared" si="4"/>
        <v>6785.9999999999991</v>
      </c>
      <c r="H64" s="558"/>
      <c r="I64" s="501">
        <v>40616</v>
      </c>
      <c r="J64" s="554">
        <v>0.54930000000000001</v>
      </c>
      <c r="K64" s="507">
        <f t="shared" si="8"/>
        <v>6426.81</v>
      </c>
      <c r="L64" s="508">
        <f t="shared" si="7"/>
        <v>-359.18999999999869</v>
      </c>
      <c r="M64" s="549">
        <v>1.01441</v>
      </c>
      <c r="N64" s="509">
        <f t="shared" si="6"/>
        <v>-364.36592789999867</v>
      </c>
      <c r="O64" s="374"/>
      <c r="P64" s="121"/>
    </row>
    <row r="65" spans="1:16" s="8" customFormat="1" ht="15" customHeight="1" x14ac:dyDescent="0.25">
      <c r="A65" s="500" t="s">
        <v>198</v>
      </c>
      <c r="B65" s="500" t="s">
        <v>155</v>
      </c>
      <c r="C65" s="500" t="s">
        <v>53</v>
      </c>
      <c r="D65" s="501">
        <v>40608</v>
      </c>
      <c r="E65" s="502">
        <v>2445</v>
      </c>
      <c r="F65" s="503">
        <v>3.15</v>
      </c>
      <c r="G65" s="504">
        <f t="shared" si="4"/>
        <v>7701.75</v>
      </c>
      <c r="H65" s="558"/>
      <c r="I65" s="501">
        <v>40616</v>
      </c>
      <c r="J65" s="554">
        <v>3.04</v>
      </c>
      <c r="K65" s="507">
        <f t="shared" si="8"/>
        <v>7432.8</v>
      </c>
      <c r="L65" s="508">
        <f t="shared" si="7"/>
        <v>-268.94999999999982</v>
      </c>
      <c r="M65" s="549">
        <v>1.01441</v>
      </c>
      <c r="N65" s="509">
        <f t="shared" si="6"/>
        <v>-272.8255694999998</v>
      </c>
      <c r="O65" s="374"/>
      <c r="P65" s="121"/>
    </row>
    <row r="66" spans="1:16" s="8" customFormat="1" ht="15" customHeight="1" x14ac:dyDescent="0.25">
      <c r="A66" s="500" t="s">
        <v>199</v>
      </c>
      <c r="B66" s="500" t="s">
        <v>200</v>
      </c>
      <c r="C66" s="500" t="s">
        <v>53</v>
      </c>
      <c r="D66" s="501">
        <v>40581</v>
      </c>
      <c r="E66" s="502">
        <v>5000</v>
      </c>
      <c r="F66" s="503">
        <v>1.595</v>
      </c>
      <c r="G66" s="504">
        <f t="shared" si="4"/>
        <v>7975</v>
      </c>
      <c r="H66" s="558"/>
      <c r="I66" s="501">
        <v>40618</v>
      </c>
      <c r="J66" s="554">
        <v>1.704</v>
      </c>
      <c r="K66" s="507">
        <f t="shared" si="8"/>
        <v>8520</v>
      </c>
      <c r="L66" s="508">
        <f t="shared" si="7"/>
        <v>545</v>
      </c>
      <c r="M66" s="549">
        <v>0.99051999999999996</v>
      </c>
      <c r="N66" s="509">
        <f t="shared" si="6"/>
        <v>539.83339999999998</v>
      </c>
      <c r="O66" s="374"/>
      <c r="P66" s="121"/>
    </row>
    <row r="67" spans="1:16" s="8" customFormat="1" ht="15" customHeight="1" x14ac:dyDescent="0.25">
      <c r="A67" s="500" t="s">
        <v>201</v>
      </c>
      <c r="B67" s="500" t="s">
        <v>202</v>
      </c>
      <c r="C67" s="500" t="s">
        <v>53</v>
      </c>
      <c r="D67" s="501">
        <v>40604</v>
      </c>
      <c r="E67" s="502">
        <v>5160</v>
      </c>
      <c r="F67" s="503">
        <v>1.0649999999999999</v>
      </c>
      <c r="G67" s="504">
        <f t="shared" si="4"/>
        <v>5495.4</v>
      </c>
      <c r="H67" s="558"/>
      <c r="I67" s="501">
        <v>40618</v>
      </c>
      <c r="J67" s="554">
        <v>1.02</v>
      </c>
      <c r="K67" s="507">
        <f t="shared" si="8"/>
        <v>5263.2</v>
      </c>
      <c r="L67" s="508">
        <f t="shared" si="7"/>
        <v>-232.19999999999982</v>
      </c>
      <c r="M67" s="549">
        <v>0.99051999999999996</v>
      </c>
      <c r="N67" s="509">
        <f t="shared" si="6"/>
        <v>-229.99874399999982</v>
      </c>
      <c r="O67" s="374"/>
      <c r="P67" s="121"/>
    </row>
    <row r="68" spans="1:16" s="18" customFormat="1" ht="15" customHeight="1" x14ac:dyDescent="0.25">
      <c r="A68" s="511" t="s">
        <v>137</v>
      </c>
      <c r="B68" s="511" t="s">
        <v>203</v>
      </c>
      <c r="C68" s="511" t="s">
        <v>78</v>
      </c>
      <c r="D68" s="512">
        <v>40617</v>
      </c>
      <c r="E68" s="513">
        <v>2750</v>
      </c>
      <c r="F68" s="514">
        <v>2</v>
      </c>
      <c r="G68" s="515">
        <f t="shared" si="4"/>
        <v>5500</v>
      </c>
      <c r="H68" s="522"/>
      <c r="I68" s="512">
        <v>40618</v>
      </c>
      <c r="J68" s="514">
        <v>2.1</v>
      </c>
      <c r="K68" s="518">
        <f>SUM(E68*J68)</f>
        <v>5775</v>
      </c>
      <c r="L68" s="519">
        <f>SUM(G68-K68)</f>
        <v>-275</v>
      </c>
      <c r="M68" s="549">
        <v>0.99051999999999996</v>
      </c>
      <c r="N68" s="521">
        <f t="shared" si="6"/>
        <v>-272.39299999999997</v>
      </c>
      <c r="O68" s="381"/>
      <c r="P68" s="122"/>
    </row>
    <row r="69" spans="1:16" s="8" customFormat="1" ht="15" customHeight="1" x14ac:dyDescent="0.25">
      <c r="A69" s="500" t="s">
        <v>204</v>
      </c>
      <c r="B69" s="500" t="s">
        <v>205</v>
      </c>
      <c r="C69" s="500" t="s">
        <v>53</v>
      </c>
      <c r="D69" s="501">
        <v>40608</v>
      </c>
      <c r="E69" s="502">
        <v>2500</v>
      </c>
      <c r="F69" s="503">
        <v>0.72499999999999998</v>
      </c>
      <c r="G69" s="504">
        <f t="shared" si="4"/>
        <v>1812.5</v>
      </c>
      <c r="H69" s="558"/>
      <c r="I69" s="501">
        <v>40624</v>
      </c>
      <c r="J69" s="554">
        <v>0.57999999999999996</v>
      </c>
      <c r="K69" s="507">
        <f t="shared" si="8"/>
        <v>1450</v>
      </c>
      <c r="L69" s="508">
        <f>SUM(K69-G69)</f>
        <v>-362.5</v>
      </c>
      <c r="M69" s="549">
        <v>1.0061800000000001</v>
      </c>
      <c r="N69" s="509">
        <f t="shared" si="6"/>
        <v>-364.74025</v>
      </c>
      <c r="O69" s="374"/>
      <c r="P69" s="121"/>
    </row>
    <row r="70" spans="1:16" s="18" customFormat="1" ht="15" customHeight="1" x14ac:dyDescent="0.25">
      <c r="A70" s="511" t="s">
        <v>206</v>
      </c>
      <c r="B70" s="511" t="s">
        <v>207</v>
      </c>
      <c r="C70" s="511" t="s">
        <v>78</v>
      </c>
      <c r="D70" s="512">
        <v>40603</v>
      </c>
      <c r="E70" s="513">
        <v>4505</v>
      </c>
      <c r="F70" s="514">
        <v>1.2</v>
      </c>
      <c r="G70" s="515">
        <f t="shared" si="4"/>
        <v>5406</v>
      </c>
      <c r="H70" s="522"/>
      <c r="I70" s="512">
        <v>40624</v>
      </c>
      <c r="J70" s="514">
        <v>1.2110000000000001</v>
      </c>
      <c r="K70" s="518">
        <f t="shared" ref="K70:K77" si="9">SUM(E70*J70)</f>
        <v>5455.5550000000003</v>
      </c>
      <c r="L70" s="519">
        <f t="shared" ref="L70:L77" si="10">SUM(G70-K70)</f>
        <v>-49.555000000000291</v>
      </c>
      <c r="M70" s="550">
        <v>1.0061800000000001</v>
      </c>
      <c r="N70" s="521">
        <f t="shared" si="6"/>
        <v>-49.861249900000296</v>
      </c>
      <c r="O70" s="381"/>
      <c r="P70" s="122"/>
    </row>
    <row r="71" spans="1:16" s="18" customFormat="1" ht="15" customHeight="1" x14ac:dyDescent="0.25">
      <c r="A71" s="511" t="s">
        <v>208</v>
      </c>
      <c r="B71" s="511" t="s">
        <v>209</v>
      </c>
      <c r="C71" s="511" t="s">
        <v>78</v>
      </c>
      <c r="D71" s="512">
        <v>40617</v>
      </c>
      <c r="E71" s="513">
        <v>1675</v>
      </c>
      <c r="F71" s="514">
        <v>4.4450000000000003</v>
      </c>
      <c r="G71" s="515">
        <f t="shared" si="4"/>
        <v>7445.3750000000009</v>
      </c>
      <c r="H71" s="522"/>
      <c r="I71" s="512">
        <v>40626</v>
      </c>
      <c r="J71" s="514">
        <v>4.63</v>
      </c>
      <c r="K71" s="518">
        <f t="shared" si="9"/>
        <v>7755.25</v>
      </c>
      <c r="L71" s="519">
        <f t="shared" si="10"/>
        <v>-309.87499999999909</v>
      </c>
      <c r="M71" s="550">
        <v>1.01292</v>
      </c>
      <c r="N71" s="521">
        <f t="shared" si="6"/>
        <v>-313.87858499999908</v>
      </c>
      <c r="O71" s="381"/>
      <c r="P71" s="122"/>
    </row>
    <row r="72" spans="1:16" s="18" customFormat="1" ht="15" customHeight="1" x14ac:dyDescent="0.25">
      <c r="A72" s="511" t="s">
        <v>210</v>
      </c>
      <c r="B72" s="511" t="s">
        <v>211</v>
      </c>
      <c r="C72" s="511" t="s">
        <v>78</v>
      </c>
      <c r="D72" s="512">
        <v>40613</v>
      </c>
      <c r="E72" s="513">
        <v>5620</v>
      </c>
      <c r="F72" s="514">
        <v>1.3046</v>
      </c>
      <c r="G72" s="515">
        <f>SUM(E72*F72)</f>
        <v>7331.8519999999999</v>
      </c>
      <c r="H72" s="522"/>
      <c r="I72" s="512">
        <v>40626</v>
      </c>
      <c r="J72" s="514">
        <v>1.415</v>
      </c>
      <c r="K72" s="518">
        <f t="shared" si="9"/>
        <v>7952.3</v>
      </c>
      <c r="L72" s="519">
        <f t="shared" si="10"/>
        <v>-620.44800000000032</v>
      </c>
      <c r="M72" s="550">
        <v>1.01292</v>
      </c>
      <c r="N72" s="521">
        <f t="shared" si="6"/>
        <v>-628.46418816000039</v>
      </c>
      <c r="O72" s="381"/>
      <c r="P72" s="122"/>
    </row>
    <row r="73" spans="1:16" s="18" customFormat="1" ht="15" customHeight="1" x14ac:dyDescent="0.25">
      <c r="A73" s="511" t="s">
        <v>212</v>
      </c>
      <c r="B73" s="511" t="s">
        <v>213</v>
      </c>
      <c r="C73" s="511" t="s">
        <v>78</v>
      </c>
      <c r="D73" s="512">
        <v>40595</v>
      </c>
      <c r="E73" s="513">
        <v>1850</v>
      </c>
      <c r="F73" s="514">
        <v>2.93</v>
      </c>
      <c r="G73" s="515">
        <f>SUM(E73*F73)</f>
        <v>5420.5</v>
      </c>
      <c r="H73" s="522"/>
      <c r="I73" s="512">
        <v>40631</v>
      </c>
      <c r="J73" s="514">
        <v>3.0630000000000002</v>
      </c>
      <c r="K73" s="518">
        <f t="shared" si="9"/>
        <v>5666.55</v>
      </c>
      <c r="L73" s="519">
        <f t="shared" si="10"/>
        <v>-246.05000000000018</v>
      </c>
      <c r="M73" s="550">
        <v>1.0242500000000001</v>
      </c>
      <c r="N73" s="521">
        <f t="shared" si="6"/>
        <v>-252.01671250000021</v>
      </c>
      <c r="O73" s="381"/>
      <c r="P73" s="122"/>
    </row>
    <row r="74" spans="1:16" s="18" customFormat="1" ht="15" customHeight="1" x14ac:dyDescent="0.25">
      <c r="A74" s="511" t="s">
        <v>214</v>
      </c>
      <c r="B74" s="511" t="s">
        <v>215</v>
      </c>
      <c r="C74" s="511" t="s">
        <v>78</v>
      </c>
      <c r="D74" s="512">
        <v>40610</v>
      </c>
      <c r="E74" s="513">
        <v>5980</v>
      </c>
      <c r="F74" s="514">
        <v>1.2549999999999999</v>
      </c>
      <c r="G74" s="515">
        <f t="shared" ref="G74:G105" si="11">SUM(E74*F74)</f>
        <v>7504.9</v>
      </c>
      <c r="H74" s="522"/>
      <c r="I74" s="512">
        <v>40631</v>
      </c>
      <c r="J74" s="514">
        <v>1.2629999999999999</v>
      </c>
      <c r="K74" s="518">
        <f t="shared" si="9"/>
        <v>7552.74</v>
      </c>
      <c r="L74" s="519">
        <f t="shared" si="10"/>
        <v>-47.840000000000146</v>
      </c>
      <c r="M74" s="550">
        <v>1.0242500000000001</v>
      </c>
      <c r="N74" s="521">
        <f t="shared" si="6"/>
        <v>-49.000120000000152</v>
      </c>
      <c r="O74" s="381"/>
      <c r="P74" s="122"/>
    </row>
    <row r="75" spans="1:16" s="18" customFormat="1" ht="15" customHeight="1" x14ac:dyDescent="0.25">
      <c r="A75" s="511" t="s">
        <v>216</v>
      </c>
      <c r="B75" s="511" t="s">
        <v>149</v>
      </c>
      <c r="C75" s="511" t="s">
        <v>78</v>
      </c>
      <c r="D75" s="512">
        <v>40616</v>
      </c>
      <c r="E75" s="513">
        <v>792</v>
      </c>
      <c r="F75" s="514">
        <v>9.3670000000000009</v>
      </c>
      <c r="G75" s="515">
        <f t="shared" si="11"/>
        <v>7418.6640000000007</v>
      </c>
      <c r="H75" s="522"/>
      <c r="I75" s="512">
        <v>40631</v>
      </c>
      <c r="J75" s="514">
        <v>9.8800000000000008</v>
      </c>
      <c r="K75" s="518">
        <f t="shared" si="9"/>
        <v>7824.9600000000009</v>
      </c>
      <c r="L75" s="519">
        <f t="shared" si="10"/>
        <v>-406.29600000000028</v>
      </c>
      <c r="M75" s="550">
        <v>1.0242500000000001</v>
      </c>
      <c r="N75" s="521">
        <f t="shared" si="6"/>
        <v>-416.1486780000003</v>
      </c>
      <c r="O75" s="381"/>
      <c r="P75" s="122"/>
    </row>
    <row r="76" spans="1:16" s="18" customFormat="1" ht="15" customHeight="1" x14ac:dyDescent="0.25">
      <c r="A76" s="511" t="s">
        <v>217</v>
      </c>
      <c r="B76" s="511" t="s">
        <v>218</v>
      </c>
      <c r="C76" s="511" t="s">
        <v>78</v>
      </c>
      <c r="D76" s="512">
        <v>40617</v>
      </c>
      <c r="E76" s="513">
        <v>1220</v>
      </c>
      <c r="F76" s="514">
        <v>6.1109999999999998</v>
      </c>
      <c r="G76" s="515">
        <f t="shared" si="11"/>
        <v>7455.42</v>
      </c>
      <c r="H76" s="522"/>
      <c r="I76" s="512">
        <v>40631</v>
      </c>
      <c r="J76" s="514">
        <v>6.62</v>
      </c>
      <c r="K76" s="518">
        <f t="shared" si="9"/>
        <v>8076.4000000000005</v>
      </c>
      <c r="L76" s="519">
        <f t="shared" si="10"/>
        <v>-620.98000000000047</v>
      </c>
      <c r="M76" s="550">
        <v>1.0242500000000001</v>
      </c>
      <c r="N76" s="521">
        <f t="shared" si="6"/>
        <v>-636.03876500000058</v>
      </c>
      <c r="O76" s="381"/>
      <c r="P76" s="122"/>
    </row>
    <row r="77" spans="1:16" s="18" customFormat="1" ht="15" customHeight="1" x14ac:dyDescent="0.25">
      <c r="A77" s="511" t="s">
        <v>219</v>
      </c>
      <c r="B77" s="511" t="s">
        <v>219</v>
      </c>
      <c r="C77" s="511" t="s">
        <v>78</v>
      </c>
      <c r="D77" s="512">
        <v>40617</v>
      </c>
      <c r="E77" s="513">
        <v>1700</v>
      </c>
      <c r="F77" s="514">
        <v>3.22</v>
      </c>
      <c r="G77" s="515">
        <f t="shared" si="11"/>
        <v>5474</v>
      </c>
      <c r="H77" s="522"/>
      <c r="I77" s="512">
        <v>40637</v>
      </c>
      <c r="J77" s="514">
        <v>3.38</v>
      </c>
      <c r="K77" s="518">
        <f t="shared" si="9"/>
        <v>5746</v>
      </c>
      <c r="L77" s="519">
        <f t="shared" si="10"/>
        <v>-272</v>
      </c>
      <c r="M77" s="550">
        <v>1.0396799999999999</v>
      </c>
      <c r="N77" s="521">
        <f t="shared" si="6"/>
        <v>-282.79295999999999</v>
      </c>
      <c r="O77" s="381"/>
      <c r="P77" s="122"/>
    </row>
    <row r="78" spans="1:16" s="8" customFormat="1" ht="15" customHeight="1" x14ac:dyDescent="0.25">
      <c r="A78" s="500" t="s">
        <v>154</v>
      </c>
      <c r="B78" s="500" t="s">
        <v>155</v>
      </c>
      <c r="C78" s="500" t="s">
        <v>53</v>
      </c>
      <c r="D78" s="501">
        <v>40637</v>
      </c>
      <c r="E78" s="502">
        <v>1775</v>
      </c>
      <c r="F78" s="503">
        <v>3.12</v>
      </c>
      <c r="G78" s="504">
        <f t="shared" si="11"/>
        <v>5538</v>
      </c>
      <c r="H78" s="558"/>
      <c r="I78" s="501">
        <v>40646</v>
      </c>
      <c r="J78" s="554">
        <v>2.96</v>
      </c>
      <c r="K78" s="507">
        <f>SUM(E78*J78)</f>
        <v>5254</v>
      </c>
      <c r="L78" s="508">
        <f>SUM(K78-G78)</f>
        <v>-284</v>
      </c>
      <c r="M78" s="549">
        <v>1.04348</v>
      </c>
      <c r="N78" s="509">
        <f t="shared" si="6"/>
        <v>-296.34832</v>
      </c>
      <c r="O78" s="374"/>
      <c r="P78" s="121"/>
    </row>
    <row r="79" spans="1:16" s="8" customFormat="1" ht="15" customHeight="1" x14ac:dyDescent="0.25">
      <c r="A79" s="500" t="s">
        <v>220</v>
      </c>
      <c r="B79" s="500" t="s">
        <v>221</v>
      </c>
      <c r="C79" s="500" t="s">
        <v>53</v>
      </c>
      <c r="D79" s="501">
        <v>40632</v>
      </c>
      <c r="E79" s="502">
        <v>1428</v>
      </c>
      <c r="F79" s="503">
        <v>4.2</v>
      </c>
      <c r="G79" s="504">
        <f t="shared" si="11"/>
        <v>5997.6</v>
      </c>
      <c r="H79" s="558"/>
      <c r="I79" s="501">
        <v>40646</v>
      </c>
      <c r="J79" s="554">
        <v>4.09</v>
      </c>
      <c r="K79" s="507">
        <f>SUM(E79*J79)</f>
        <v>5840.5199999999995</v>
      </c>
      <c r="L79" s="508">
        <f>SUM(K79-G79)</f>
        <v>-157.08000000000084</v>
      </c>
      <c r="M79" s="549">
        <v>1.04348</v>
      </c>
      <c r="N79" s="509">
        <f t="shared" si="6"/>
        <v>-163.90983840000087</v>
      </c>
      <c r="O79" s="374"/>
      <c r="P79" s="121"/>
    </row>
    <row r="80" spans="1:16" s="18" customFormat="1" ht="15" customHeight="1" x14ac:dyDescent="0.25">
      <c r="A80" s="511" t="s">
        <v>12</v>
      </c>
      <c r="B80" s="511" t="s">
        <v>13</v>
      </c>
      <c r="C80" s="511" t="s">
        <v>78</v>
      </c>
      <c r="D80" s="512">
        <v>40602</v>
      </c>
      <c r="E80" s="513">
        <v>5250</v>
      </c>
      <c r="F80" s="514">
        <v>1.05</v>
      </c>
      <c r="G80" s="515">
        <f t="shared" si="11"/>
        <v>5512.5</v>
      </c>
      <c r="H80" s="522"/>
      <c r="I80" s="512">
        <v>40646</v>
      </c>
      <c r="J80" s="514">
        <v>1.1200000000000001</v>
      </c>
      <c r="K80" s="518">
        <f>SUM(E80*J80)</f>
        <v>5880.0000000000009</v>
      </c>
      <c r="L80" s="519">
        <f>SUM(G80-K80)</f>
        <v>-367.50000000000091</v>
      </c>
      <c r="M80" s="549">
        <v>1.04348</v>
      </c>
      <c r="N80" s="521">
        <f t="shared" si="6"/>
        <v>-383.47890000000092</v>
      </c>
      <c r="O80" s="381"/>
      <c r="P80" s="122"/>
    </row>
    <row r="81" spans="1:16" s="8" customFormat="1" ht="15" customHeight="1" x14ac:dyDescent="0.25">
      <c r="A81" s="500" t="s">
        <v>222</v>
      </c>
      <c r="B81" s="500" t="s">
        <v>223</v>
      </c>
      <c r="C81" s="500" t="s">
        <v>53</v>
      </c>
      <c r="D81" s="501">
        <v>40634</v>
      </c>
      <c r="E81" s="502">
        <v>587</v>
      </c>
      <c r="F81" s="503">
        <v>9.4600000000000009</v>
      </c>
      <c r="G81" s="504">
        <f t="shared" si="11"/>
        <v>5553.02</v>
      </c>
      <c r="H81" s="558"/>
      <c r="I81" s="501">
        <v>40646</v>
      </c>
      <c r="J81" s="554">
        <v>9.14</v>
      </c>
      <c r="K81" s="507">
        <f t="shared" ref="K81:K86" si="12">SUM(E81*J81)</f>
        <v>5365.18</v>
      </c>
      <c r="L81" s="508">
        <f t="shared" ref="L81:L87" si="13">SUM(K81-G81)</f>
        <v>-187.84000000000015</v>
      </c>
      <c r="M81" s="549">
        <v>1.04348</v>
      </c>
      <c r="N81" s="509">
        <f t="shared" si="6"/>
        <v>-196.00728320000013</v>
      </c>
      <c r="O81" s="374"/>
      <c r="P81" s="121"/>
    </row>
    <row r="82" spans="1:16" s="8" customFormat="1" ht="15" customHeight="1" x14ac:dyDescent="0.25">
      <c r="A82" s="500" t="s">
        <v>224</v>
      </c>
      <c r="B82" s="500" t="s">
        <v>225</v>
      </c>
      <c r="C82" s="500" t="s">
        <v>53</v>
      </c>
      <c r="D82" s="501">
        <v>40639</v>
      </c>
      <c r="E82" s="502">
        <v>1575</v>
      </c>
      <c r="F82" s="503">
        <v>3.52</v>
      </c>
      <c r="G82" s="504">
        <f t="shared" si="11"/>
        <v>5544</v>
      </c>
      <c r="H82" s="558"/>
      <c r="I82" s="501">
        <v>40646</v>
      </c>
      <c r="J82" s="554">
        <v>3.39</v>
      </c>
      <c r="K82" s="507">
        <f t="shared" si="12"/>
        <v>5339.25</v>
      </c>
      <c r="L82" s="508">
        <f t="shared" si="13"/>
        <v>-204.75</v>
      </c>
      <c r="M82" s="549">
        <v>1.04348</v>
      </c>
      <c r="N82" s="509">
        <f t="shared" si="6"/>
        <v>-213.65252999999998</v>
      </c>
      <c r="O82" s="374"/>
      <c r="P82" s="121"/>
    </row>
    <row r="83" spans="1:16" s="8" customFormat="1" ht="15" customHeight="1" x14ac:dyDescent="0.25">
      <c r="A83" s="500" t="s">
        <v>226</v>
      </c>
      <c r="B83" s="500" t="s">
        <v>227</v>
      </c>
      <c r="C83" s="500" t="s">
        <v>53</v>
      </c>
      <c r="D83" s="501">
        <v>40644</v>
      </c>
      <c r="E83" s="502">
        <v>948</v>
      </c>
      <c r="F83" s="503">
        <v>5.81</v>
      </c>
      <c r="G83" s="504">
        <f t="shared" si="11"/>
        <v>5507.8799999999992</v>
      </c>
      <c r="H83" s="558"/>
      <c r="I83" s="501">
        <v>40646</v>
      </c>
      <c r="J83" s="554">
        <v>5.59</v>
      </c>
      <c r="K83" s="507">
        <f t="shared" si="12"/>
        <v>5299.32</v>
      </c>
      <c r="L83" s="508">
        <f t="shared" si="13"/>
        <v>-208.55999999999949</v>
      </c>
      <c r="M83" s="549">
        <v>1.04348</v>
      </c>
      <c r="N83" s="509">
        <f t="shared" si="6"/>
        <v>-217.62818879999946</v>
      </c>
      <c r="O83" s="374"/>
      <c r="P83" s="121"/>
    </row>
    <row r="84" spans="1:16" s="8" customFormat="1" ht="15" customHeight="1" x14ac:dyDescent="0.25">
      <c r="A84" s="500" t="s">
        <v>228</v>
      </c>
      <c r="B84" s="500" t="s">
        <v>229</v>
      </c>
      <c r="C84" s="500" t="s">
        <v>53</v>
      </c>
      <c r="D84" s="501">
        <v>40644</v>
      </c>
      <c r="E84" s="502">
        <v>1220</v>
      </c>
      <c r="F84" s="503">
        <v>4.95</v>
      </c>
      <c r="G84" s="504">
        <f t="shared" si="11"/>
        <v>6039</v>
      </c>
      <c r="H84" s="558"/>
      <c r="I84" s="501">
        <v>40646</v>
      </c>
      <c r="J84" s="554">
        <v>4.7750000000000004</v>
      </c>
      <c r="K84" s="507">
        <f t="shared" si="12"/>
        <v>5825.5</v>
      </c>
      <c r="L84" s="508">
        <f t="shared" si="13"/>
        <v>-213.5</v>
      </c>
      <c r="M84" s="549">
        <v>1.04348</v>
      </c>
      <c r="N84" s="509">
        <f t="shared" si="6"/>
        <v>-222.78297999999998</v>
      </c>
      <c r="O84" s="374"/>
      <c r="P84" s="121"/>
    </row>
    <row r="85" spans="1:16" s="8" customFormat="1" ht="15" customHeight="1" x14ac:dyDescent="0.25">
      <c r="A85" s="500" t="s">
        <v>235</v>
      </c>
      <c r="B85" s="500" t="s">
        <v>236</v>
      </c>
      <c r="C85" s="500" t="s">
        <v>53</v>
      </c>
      <c r="D85" s="501">
        <v>40644</v>
      </c>
      <c r="E85" s="502">
        <v>2238</v>
      </c>
      <c r="F85" s="503">
        <v>2.7</v>
      </c>
      <c r="G85" s="504">
        <f>SUM(E85*F85)</f>
        <v>6042.6</v>
      </c>
      <c r="H85" s="558"/>
      <c r="I85" s="501">
        <v>40651</v>
      </c>
      <c r="J85" s="503">
        <v>2.35</v>
      </c>
      <c r="K85" s="507">
        <f>SUM(E85*J85)</f>
        <v>5259.3</v>
      </c>
      <c r="L85" s="508">
        <f t="shared" si="13"/>
        <v>-783.30000000000018</v>
      </c>
      <c r="M85" s="549">
        <v>1.05609</v>
      </c>
      <c r="N85" s="509">
        <f>SUM(L85*M85)</f>
        <v>-827.23529700000017</v>
      </c>
      <c r="O85" s="374"/>
      <c r="P85" s="121"/>
    </row>
    <row r="86" spans="1:16" s="8" customFormat="1" ht="15" customHeight="1" x14ac:dyDescent="0.25">
      <c r="A86" s="552" t="s">
        <v>230</v>
      </c>
      <c r="B86" s="500" t="s">
        <v>231</v>
      </c>
      <c r="C86" s="14" t="s">
        <v>53</v>
      </c>
      <c r="D86" s="501">
        <v>40581</v>
      </c>
      <c r="E86" s="502">
        <v>4000</v>
      </c>
      <c r="F86" s="503">
        <v>1.625</v>
      </c>
      <c r="G86" s="504">
        <f t="shared" si="11"/>
        <v>6500</v>
      </c>
      <c r="H86" s="558"/>
      <c r="I86" s="501">
        <v>40652</v>
      </c>
      <c r="J86" s="554">
        <v>1.847</v>
      </c>
      <c r="K86" s="507">
        <f t="shared" si="12"/>
        <v>7388</v>
      </c>
      <c r="L86" s="508">
        <f t="shared" si="13"/>
        <v>888</v>
      </c>
      <c r="M86" s="549">
        <v>1.0509500000000001</v>
      </c>
      <c r="N86" s="509">
        <f t="shared" si="6"/>
        <v>933.24360000000001</v>
      </c>
      <c r="O86" s="374"/>
      <c r="P86" s="121"/>
    </row>
    <row r="87" spans="1:16" s="8" customFormat="1" ht="15" customHeight="1" x14ac:dyDescent="0.25">
      <c r="A87" s="500" t="s">
        <v>234</v>
      </c>
      <c r="B87" s="500" t="s">
        <v>194</v>
      </c>
      <c r="C87" s="500" t="s">
        <v>53</v>
      </c>
      <c r="D87" s="501">
        <v>40637</v>
      </c>
      <c r="E87" s="502">
        <v>382</v>
      </c>
      <c r="F87" s="503">
        <v>16.25</v>
      </c>
      <c r="G87" s="504">
        <f>SUM(E87*F87)</f>
        <v>6207.5</v>
      </c>
      <c r="H87" s="558"/>
      <c r="I87" s="501">
        <v>40652</v>
      </c>
      <c r="J87" s="503">
        <v>15.55</v>
      </c>
      <c r="K87" s="507">
        <f>SUM(E87*J87)</f>
        <v>5940.1</v>
      </c>
      <c r="L87" s="508">
        <f t="shared" si="13"/>
        <v>-267.39999999999964</v>
      </c>
      <c r="M87" s="549">
        <v>1.0509500000000001</v>
      </c>
      <c r="N87" s="509">
        <f>SUM(L87*M87)</f>
        <v>-281.02402999999964</v>
      </c>
      <c r="O87" s="374"/>
      <c r="P87" s="121"/>
    </row>
    <row r="88" spans="1:16" s="18" customFormat="1" ht="17.25" customHeight="1" x14ac:dyDescent="0.25">
      <c r="A88" s="511" t="s">
        <v>232</v>
      </c>
      <c r="B88" s="511" t="s">
        <v>233</v>
      </c>
      <c r="C88" s="511" t="s">
        <v>78</v>
      </c>
      <c r="D88" s="512">
        <v>40617</v>
      </c>
      <c r="E88" s="513">
        <v>2465</v>
      </c>
      <c r="F88" s="514">
        <v>3.04</v>
      </c>
      <c r="G88" s="515">
        <f t="shared" si="11"/>
        <v>7493.6</v>
      </c>
      <c r="H88" s="522"/>
      <c r="I88" s="512">
        <v>40653</v>
      </c>
      <c r="J88" s="514">
        <v>3.13</v>
      </c>
      <c r="K88" s="518">
        <f>SUM(E88*J88)</f>
        <v>7715.45</v>
      </c>
      <c r="L88" s="519">
        <f>SUM(G88-K88)</f>
        <v>-221.84999999999945</v>
      </c>
      <c r="M88" s="550">
        <v>1.0523</v>
      </c>
      <c r="N88" s="521">
        <f t="shared" si="6"/>
        <v>-233.45275499999943</v>
      </c>
      <c r="O88" s="381"/>
      <c r="P88" s="122"/>
    </row>
    <row r="89" spans="1:16" s="18" customFormat="1" ht="15" customHeight="1" x14ac:dyDescent="0.25">
      <c r="A89" s="511" t="s">
        <v>237</v>
      </c>
      <c r="B89" s="511" t="s">
        <v>238</v>
      </c>
      <c r="C89" s="511" t="s">
        <v>78</v>
      </c>
      <c r="D89" s="512">
        <v>40646</v>
      </c>
      <c r="E89" s="513">
        <v>4243</v>
      </c>
      <c r="F89" s="514">
        <v>1.2649999999999999</v>
      </c>
      <c r="G89" s="515">
        <f t="shared" si="11"/>
        <v>5367.3949999999995</v>
      </c>
      <c r="H89" s="522"/>
      <c r="I89" s="512">
        <v>40653</v>
      </c>
      <c r="J89" s="514">
        <v>1.365</v>
      </c>
      <c r="K89" s="518">
        <f>SUM(E89*J89)</f>
        <v>5791.6949999999997</v>
      </c>
      <c r="L89" s="519">
        <f>SUM(G89-K89)</f>
        <v>-424.30000000000018</v>
      </c>
      <c r="M89" s="550">
        <v>1.0523</v>
      </c>
      <c r="N89" s="521">
        <f t="shared" si="6"/>
        <v>-446.49089000000021</v>
      </c>
      <c r="O89" s="381"/>
      <c r="P89" s="122"/>
    </row>
    <row r="90" spans="1:16" s="8" customFormat="1" ht="15" customHeight="1" x14ac:dyDescent="0.25">
      <c r="A90" s="552" t="s">
        <v>239</v>
      </c>
      <c r="B90" s="500" t="s">
        <v>240</v>
      </c>
      <c r="C90" s="500" t="s">
        <v>53</v>
      </c>
      <c r="D90" s="501">
        <v>40590</v>
      </c>
      <c r="E90" s="502">
        <v>10000</v>
      </c>
      <c r="F90" s="503">
        <v>1.25</v>
      </c>
      <c r="G90" s="504">
        <f t="shared" si="11"/>
        <v>12500</v>
      </c>
      <c r="H90" s="558"/>
      <c r="I90" s="501">
        <v>40661</v>
      </c>
      <c r="J90" s="503">
        <v>1.3939999999999999</v>
      </c>
      <c r="K90" s="507">
        <f t="shared" ref="K90:K119" si="14">SUM(E90*J90)</f>
        <v>13939.999999999998</v>
      </c>
      <c r="L90" s="508">
        <f t="shared" ref="L90:L99" si="15">SUM(K90-G90)</f>
        <v>1439.9999999999982</v>
      </c>
      <c r="M90" s="549">
        <v>1.0869800000000001</v>
      </c>
      <c r="N90" s="509">
        <f t="shared" si="6"/>
        <v>1565.2511999999981</v>
      </c>
      <c r="O90" s="374"/>
      <c r="P90" s="121"/>
    </row>
    <row r="91" spans="1:16" s="8" customFormat="1" ht="15" customHeight="1" x14ac:dyDescent="0.25">
      <c r="A91" s="552" t="s">
        <v>241</v>
      </c>
      <c r="B91" s="500" t="s">
        <v>242</v>
      </c>
      <c r="C91" s="500" t="s">
        <v>53</v>
      </c>
      <c r="D91" s="501">
        <v>40595</v>
      </c>
      <c r="E91" s="502">
        <v>10300</v>
      </c>
      <c r="F91" s="503">
        <v>1.0649999999999999</v>
      </c>
      <c r="G91" s="504">
        <f t="shared" si="11"/>
        <v>10969.5</v>
      </c>
      <c r="H91" s="558"/>
      <c r="I91" s="501">
        <v>40661</v>
      </c>
      <c r="J91" s="503">
        <v>1.1970000000000001</v>
      </c>
      <c r="K91" s="507">
        <f t="shared" si="14"/>
        <v>12329.1</v>
      </c>
      <c r="L91" s="508">
        <f t="shared" si="15"/>
        <v>1359.6000000000004</v>
      </c>
      <c r="M91" s="549">
        <v>1.0869800000000001</v>
      </c>
      <c r="N91" s="509">
        <f t="shared" si="6"/>
        <v>1477.8580080000004</v>
      </c>
      <c r="O91" s="374"/>
      <c r="P91" s="121"/>
    </row>
    <row r="92" spans="1:16" s="8" customFormat="1" ht="15" customHeight="1" x14ac:dyDescent="0.25">
      <c r="A92" s="500" t="s">
        <v>163</v>
      </c>
      <c r="B92" s="500" t="s">
        <v>164</v>
      </c>
      <c r="C92" s="500" t="s">
        <v>53</v>
      </c>
      <c r="D92" s="501">
        <v>40641</v>
      </c>
      <c r="E92" s="502">
        <v>201</v>
      </c>
      <c r="F92" s="503">
        <v>27.38</v>
      </c>
      <c r="G92" s="504">
        <f t="shared" si="11"/>
        <v>5503.38</v>
      </c>
      <c r="H92" s="558"/>
      <c r="I92" s="501">
        <v>40662</v>
      </c>
      <c r="J92" s="503">
        <v>26.5</v>
      </c>
      <c r="K92" s="507">
        <f t="shared" si="14"/>
        <v>5326.5</v>
      </c>
      <c r="L92" s="508">
        <f t="shared" si="15"/>
        <v>-176.88000000000011</v>
      </c>
      <c r="M92" s="549">
        <v>1.09263</v>
      </c>
      <c r="N92" s="509">
        <f t="shared" si="6"/>
        <v>-193.26439440000013</v>
      </c>
      <c r="O92" s="374"/>
      <c r="P92" s="121"/>
    </row>
    <row r="93" spans="1:16" s="8" customFormat="1" ht="15" customHeight="1" x14ac:dyDescent="0.25">
      <c r="A93" s="500" t="s">
        <v>243</v>
      </c>
      <c r="B93" s="500" t="s">
        <v>243</v>
      </c>
      <c r="C93" s="500" t="s">
        <v>53</v>
      </c>
      <c r="D93" s="501">
        <v>40644</v>
      </c>
      <c r="E93" s="502">
        <v>153</v>
      </c>
      <c r="F93" s="503">
        <v>49.03</v>
      </c>
      <c r="G93" s="504">
        <f t="shared" si="11"/>
        <v>7501.59</v>
      </c>
      <c r="H93" s="558"/>
      <c r="I93" s="501">
        <v>40662</v>
      </c>
      <c r="J93" s="503">
        <v>46.37</v>
      </c>
      <c r="K93" s="507">
        <f t="shared" si="14"/>
        <v>7094.61</v>
      </c>
      <c r="L93" s="508">
        <f t="shared" si="15"/>
        <v>-406.98000000000047</v>
      </c>
      <c r="M93" s="549">
        <v>1.09263</v>
      </c>
      <c r="N93" s="509">
        <f t="shared" si="6"/>
        <v>-444.6785574000005</v>
      </c>
      <c r="O93" s="374"/>
      <c r="P93" s="121"/>
    </row>
    <row r="94" spans="1:16" s="8" customFormat="1" ht="15" customHeight="1" x14ac:dyDescent="0.25">
      <c r="A94" s="500" t="s">
        <v>244</v>
      </c>
      <c r="B94" s="500" t="s">
        <v>245</v>
      </c>
      <c r="C94" s="500" t="s">
        <v>53</v>
      </c>
      <c r="D94" s="501">
        <v>40623</v>
      </c>
      <c r="E94" s="502">
        <v>255</v>
      </c>
      <c r="F94" s="503">
        <v>45.22</v>
      </c>
      <c r="G94" s="504">
        <f t="shared" si="11"/>
        <v>11531.1</v>
      </c>
      <c r="H94" s="558"/>
      <c r="I94" s="501">
        <v>40666</v>
      </c>
      <c r="J94" s="503">
        <v>45.35</v>
      </c>
      <c r="K94" s="507">
        <f t="shared" si="14"/>
        <v>11564.25</v>
      </c>
      <c r="L94" s="508">
        <f t="shared" si="15"/>
        <v>33.149999999999636</v>
      </c>
      <c r="M94" s="549">
        <v>1.0943000000000001</v>
      </c>
      <c r="N94" s="509">
        <f t="shared" si="6"/>
        <v>36.276044999999606</v>
      </c>
      <c r="O94" s="374"/>
      <c r="P94" s="121"/>
    </row>
    <row r="95" spans="1:16" s="8" customFormat="1" ht="15" customHeight="1" x14ac:dyDescent="0.25">
      <c r="A95" s="500" t="s">
        <v>246</v>
      </c>
      <c r="B95" s="500" t="s">
        <v>247</v>
      </c>
      <c r="C95" s="500" t="s">
        <v>53</v>
      </c>
      <c r="D95" s="501">
        <v>40634</v>
      </c>
      <c r="E95" s="502">
        <v>481</v>
      </c>
      <c r="F95" s="503">
        <v>1.54</v>
      </c>
      <c r="G95" s="504">
        <f t="shared" si="11"/>
        <v>740.74</v>
      </c>
      <c r="H95" s="558"/>
      <c r="I95" s="501">
        <v>40666</v>
      </c>
      <c r="J95" s="503">
        <v>1.5209999999999999</v>
      </c>
      <c r="K95" s="507">
        <f t="shared" si="14"/>
        <v>731.601</v>
      </c>
      <c r="L95" s="508">
        <f t="shared" si="15"/>
        <v>-9.13900000000001</v>
      </c>
      <c r="M95" s="549">
        <v>1.0943000000000001</v>
      </c>
      <c r="N95" s="509">
        <f t="shared" si="6"/>
        <v>-10.000807700000012</v>
      </c>
      <c r="O95" s="374"/>
      <c r="P95" s="121"/>
    </row>
    <row r="96" spans="1:16" s="8" customFormat="1" ht="15" customHeight="1" x14ac:dyDescent="0.25">
      <c r="A96" s="552" t="s">
        <v>248</v>
      </c>
      <c r="B96" s="500" t="s">
        <v>249</v>
      </c>
      <c r="C96" s="500" t="s">
        <v>53</v>
      </c>
      <c r="D96" s="501">
        <v>40632</v>
      </c>
      <c r="E96" s="502">
        <v>6122</v>
      </c>
      <c r="F96" s="503">
        <v>0.98</v>
      </c>
      <c r="G96" s="504">
        <f t="shared" si="11"/>
        <v>5999.5599999999995</v>
      </c>
      <c r="H96" s="558"/>
      <c r="I96" s="501">
        <v>40666</v>
      </c>
      <c r="J96" s="503">
        <v>0.93230000000000002</v>
      </c>
      <c r="K96" s="507">
        <f t="shared" si="14"/>
        <v>5707.5406000000003</v>
      </c>
      <c r="L96" s="508">
        <f t="shared" si="15"/>
        <v>-292.01939999999922</v>
      </c>
      <c r="M96" s="549">
        <v>1.0943000000000001</v>
      </c>
      <c r="N96" s="509">
        <f t="shared" si="6"/>
        <v>-319.55682941999919</v>
      </c>
      <c r="O96" s="374"/>
      <c r="P96" s="121"/>
    </row>
    <row r="97" spans="1:16" s="8" customFormat="1" ht="15" customHeight="1" x14ac:dyDescent="0.25">
      <c r="A97" s="500" t="s">
        <v>174</v>
      </c>
      <c r="B97" s="500" t="s">
        <v>175</v>
      </c>
      <c r="C97" s="500" t="s">
        <v>53</v>
      </c>
      <c r="D97" s="501">
        <v>40660</v>
      </c>
      <c r="E97" s="502">
        <v>8287</v>
      </c>
      <c r="F97" s="503">
        <v>0.90500000000000003</v>
      </c>
      <c r="G97" s="504">
        <f t="shared" si="11"/>
        <v>7499.7350000000006</v>
      </c>
      <c r="H97" s="558"/>
      <c r="I97" s="501">
        <v>40667</v>
      </c>
      <c r="J97" s="503">
        <v>0.85250000000000004</v>
      </c>
      <c r="K97" s="507">
        <f t="shared" si="14"/>
        <v>7064.6675000000005</v>
      </c>
      <c r="L97" s="508">
        <f t="shared" si="15"/>
        <v>-435.06750000000011</v>
      </c>
      <c r="M97" s="549">
        <v>1.0843799999999999</v>
      </c>
      <c r="N97" s="509">
        <f t="shared" si="6"/>
        <v>-471.77849565000008</v>
      </c>
      <c r="O97" s="374"/>
      <c r="P97" s="121"/>
    </row>
    <row r="98" spans="1:16" s="8" customFormat="1" ht="15" customHeight="1" x14ac:dyDescent="0.25">
      <c r="A98" s="500" t="s">
        <v>189</v>
      </c>
      <c r="B98" s="500" t="s">
        <v>190</v>
      </c>
      <c r="C98" s="500" t="s">
        <v>53</v>
      </c>
      <c r="D98" s="501">
        <v>40641</v>
      </c>
      <c r="E98" s="502">
        <v>915</v>
      </c>
      <c r="F98" s="503">
        <v>6.97</v>
      </c>
      <c r="G98" s="504">
        <f t="shared" si="11"/>
        <v>6377.55</v>
      </c>
      <c r="H98" s="558"/>
      <c r="I98" s="501">
        <v>40668</v>
      </c>
      <c r="J98" s="503">
        <v>6.4779999999999998</v>
      </c>
      <c r="K98" s="507">
        <f t="shared" si="14"/>
        <v>5927.37</v>
      </c>
      <c r="L98" s="508">
        <f t="shared" si="15"/>
        <v>-450.18000000000029</v>
      </c>
      <c r="M98" s="549">
        <v>1.0744</v>
      </c>
      <c r="N98" s="509">
        <f t="shared" si="6"/>
        <v>-483.67339200000032</v>
      </c>
      <c r="O98" s="374"/>
      <c r="P98" s="121"/>
    </row>
    <row r="99" spans="1:16" s="8" customFormat="1" ht="15" customHeight="1" x14ac:dyDescent="0.25">
      <c r="A99" s="552" t="s">
        <v>195</v>
      </c>
      <c r="B99" s="500" t="s">
        <v>196</v>
      </c>
      <c r="C99" s="500" t="s">
        <v>53</v>
      </c>
      <c r="D99" s="501">
        <v>40632</v>
      </c>
      <c r="E99" s="502">
        <v>176</v>
      </c>
      <c r="F99" s="503">
        <v>31.56</v>
      </c>
      <c r="G99" s="504">
        <f t="shared" si="11"/>
        <v>5554.5599999999995</v>
      </c>
      <c r="H99" s="558"/>
      <c r="I99" s="501">
        <v>40669</v>
      </c>
      <c r="J99" s="503">
        <v>30.02</v>
      </c>
      <c r="K99" s="507">
        <f t="shared" si="14"/>
        <v>5283.5199999999995</v>
      </c>
      <c r="L99" s="508">
        <f t="shared" si="15"/>
        <v>-271.03999999999996</v>
      </c>
      <c r="M99" s="549">
        <v>1.0578099999999999</v>
      </c>
      <c r="N99" s="509">
        <f t="shared" ref="N99:N162" si="16">SUM(L99*M99)</f>
        <v>-286.70882239999992</v>
      </c>
      <c r="O99" s="374"/>
      <c r="P99" s="121"/>
    </row>
    <row r="100" spans="1:16" s="18" customFormat="1" ht="15" customHeight="1" x14ac:dyDescent="0.25">
      <c r="A100" s="511" t="s">
        <v>176</v>
      </c>
      <c r="B100" s="511" t="s">
        <v>177</v>
      </c>
      <c r="C100" s="511" t="s">
        <v>78</v>
      </c>
      <c r="D100" s="559">
        <v>40665</v>
      </c>
      <c r="E100" s="513">
        <v>1546</v>
      </c>
      <c r="F100" s="514">
        <v>4.8499999999999996</v>
      </c>
      <c r="G100" s="515">
        <f t="shared" si="11"/>
        <v>7498.0999999999995</v>
      </c>
      <c r="H100" s="522"/>
      <c r="I100" s="512">
        <v>40669</v>
      </c>
      <c r="J100" s="514">
        <v>5.53</v>
      </c>
      <c r="K100" s="518">
        <f>SUM(E100*J100)</f>
        <v>8549.380000000001</v>
      </c>
      <c r="L100" s="519">
        <f>SUM(G100-K100)</f>
        <v>-1051.2800000000016</v>
      </c>
      <c r="M100" s="550">
        <v>1.0578099999999999</v>
      </c>
      <c r="N100" s="521">
        <f t="shared" si="16"/>
        <v>-1112.0544968000015</v>
      </c>
      <c r="O100" s="381"/>
      <c r="P100" s="122"/>
    </row>
    <row r="101" spans="1:16" s="374" customFormat="1" ht="15" customHeight="1" x14ac:dyDescent="0.25">
      <c r="A101" s="14" t="s">
        <v>250</v>
      </c>
      <c r="B101" s="560" t="s">
        <v>251</v>
      </c>
      <c r="C101" s="560" t="s">
        <v>53</v>
      </c>
      <c r="D101" s="561">
        <v>40631</v>
      </c>
      <c r="E101" s="562">
        <v>465</v>
      </c>
      <c r="F101" s="563">
        <v>13.01</v>
      </c>
      <c r="G101" s="504">
        <f t="shared" si="11"/>
        <v>6049.65</v>
      </c>
      <c r="H101" s="558"/>
      <c r="I101" s="561">
        <v>40672</v>
      </c>
      <c r="J101" s="563">
        <v>13.16</v>
      </c>
      <c r="K101" s="507">
        <f t="shared" si="14"/>
        <v>6119.4</v>
      </c>
      <c r="L101" s="508">
        <f>SUM(K101-G101)</f>
        <v>69.75</v>
      </c>
      <c r="M101" s="549">
        <v>1.07155</v>
      </c>
      <c r="N101" s="509">
        <f t="shared" si="16"/>
        <v>74.740612499999997</v>
      </c>
      <c r="P101" s="121"/>
    </row>
    <row r="102" spans="1:16" s="374" customFormat="1" ht="15" customHeight="1" x14ac:dyDescent="0.25">
      <c r="A102" s="560" t="s">
        <v>252</v>
      </c>
      <c r="B102" s="560" t="s">
        <v>253</v>
      </c>
      <c r="C102" s="560" t="s">
        <v>53</v>
      </c>
      <c r="D102" s="561">
        <v>40665</v>
      </c>
      <c r="E102" s="562">
        <v>286</v>
      </c>
      <c r="F102" s="563">
        <v>19.48</v>
      </c>
      <c r="G102" s="504">
        <f t="shared" si="11"/>
        <v>5571.28</v>
      </c>
      <c r="H102" s="558"/>
      <c r="I102" s="561">
        <v>40673</v>
      </c>
      <c r="J102" s="563">
        <v>17.920000000000002</v>
      </c>
      <c r="K102" s="507">
        <f t="shared" si="14"/>
        <v>5125.1200000000008</v>
      </c>
      <c r="L102" s="508">
        <f>SUM(K102-G102)</f>
        <v>-446.15999999999894</v>
      </c>
      <c r="M102" s="549">
        <v>1.0805400000000001</v>
      </c>
      <c r="N102" s="509">
        <f t="shared" si="16"/>
        <v>-482.0937263999989</v>
      </c>
      <c r="P102" s="121"/>
    </row>
    <row r="103" spans="1:16" s="18" customFormat="1" ht="15" customHeight="1" x14ac:dyDescent="0.25">
      <c r="A103" s="511" t="s">
        <v>256</v>
      </c>
      <c r="B103" s="511" t="s">
        <v>257</v>
      </c>
      <c r="C103" s="511" t="s">
        <v>78</v>
      </c>
      <c r="D103" s="512">
        <v>40666</v>
      </c>
      <c r="E103" s="513">
        <v>1073</v>
      </c>
      <c r="F103" s="514">
        <v>6.99</v>
      </c>
      <c r="G103" s="515">
        <f>SUM(E103*F103)</f>
        <v>7500.27</v>
      </c>
      <c r="H103" s="522"/>
      <c r="I103" s="512">
        <v>40673</v>
      </c>
      <c r="J103" s="514">
        <v>7.91</v>
      </c>
      <c r="K103" s="518">
        <f>SUM(E103*J103)</f>
        <v>8487.43</v>
      </c>
      <c r="L103" s="519">
        <f>SUM(G103-K103)</f>
        <v>-987.15999999999985</v>
      </c>
      <c r="M103" s="550">
        <v>1.0805400000000001</v>
      </c>
      <c r="N103" s="521">
        <f>SUM(L103*M103)</f>
        <v>-1066.6658663999999</v>
      </c>
      <c r="O103" s="381"/>
      <c r="P103" s="122"/>
    </row>
    <row r="104" spans="1:16" s="8" customFormat="1" ht="15" customHeight="1" x14ac:dyDescent="0.25">
      <c r="A104" s="500" t="s">
        <v>254</v>
      </c>
      <c r="B104" s="500" t="s">
        <v>255</v>
      </c>
      <c r="C104" s="500" t="s">
        <v>53</v>
      </c>
      <c r="D104" s="501">
        <v>40644</v>
      </c>
      <c r="E104" s="502">
        <v>3965</v>
      </c>
      <c r="F104" s="503">
        <v>1.52</v>
      </c>
      <c r="G104" s="504">
        <f t="shared" si="11"/>
        <v>6026.8</v>
      </c>
      <c r="H104" s="558"/>
      <c r="I104" s="501">
        <v>40675</v>
      </c>
      <c r="J104" s="503">
        <v>1.42</v>
      </c>
      <c r="K104" s="507">
        <f t="shared" si="14"/>
        <v>5630.2999999999993</v>
      </c>
      <c r="L104" s="508">
        <f>SUM(K104-G104)</f>
        <v>-396.50000000000091</v>
      </c>
      <c r="M104" s="549">
        <v>1.06952</v>
      </c>
      <c r="N104" s="509">
        <f t="shared" si="16"/>
        <v>-424.06468000000098</v>
      </c>
      <c r="O104" s="374"/>
      <c r="P104" s="121"/>
    </row>
    <row r="105" spans="1:16" s="8" customFormat="1" ht="15" customHeight="1" x14ac:dyDescent="0.25">
      <c r="A105" s="500" t="s">
        <v>254</v>
      </c>
      <c r="B105" s="500" t="s">
        <v>255</v>
      </c>
      <c r="C105" s="500" t="s">
        <v>53</v>
      </c>
      <c r="D105" s="501">
        <v>40672</v>
      </c>
      <c r="E105" s="502">
        <v>1587</v>
      </c>
      <c r="F105" s="503">
        <v>1.575</v>
      </c>
      <c r="G105" s="504">
        <f t="shared" si="11"/>
        <v>2499.5250000000001</v>
      </c>
      <c r="H105" s="558"/>
      <c r="I105" s="501">
        <v>40675</v>
      </c>
      <c r="J105" s="503">
        <v>1.42</v>
      </c>
      <c r="K105" s="507">
        <f t="shared" si="14"/>
        <v>2253.54</v>
      </c>
      <c r="L105" s="508">
        <f>SUM(K105-G105)</f>
        <v>-245.98500000000013</v>
      </c>
      <c r="M105" s="549">
        <v>1.06952</v>
      </c>
      <c r="N105" s="509">
        <f t="shared" si="16"/>
        <v>-263.08587720000014</v>
      </c>
      <c r="O105" s="374"/>
      <c r="P105" s="121"/>
    </row>
    <row r="106" spans="1:16" s="8" customFormat="1" ht="15" customHeight="1" x14ac:dyDescent="0.25">
      <c r="A106" s="500" t="s">
        <v>258</v>
      </c>
      <c r="B106" s="500" t="s">
        <v>259</v>
      </c>
      <c r="C106" s="500" t="s">
        <v>53</v>
      </c>
      <c r="D106" s="501">
        <v>40634</v>
      </c>
      <c r="E106" s="502">
        <v>1046</v>
      </c>
      <c r="F106" s="503">
        <v>6.85</v>
      </c>
      <c r="G106" s="504">
        <f t="shared" ref="G106:G137" si="17">SUM(E106*F106)</f>
        <v>7165.0999999999995</v>
      </c>
      <c r="H106" s="558"/>
      <c r="I106" s="501">
        <v>40676</v>
      </c>
      <c r="J106" s="503">
        <v>6.8449999999999998</v>
      </c>
      <c r="K106" s="507">
        <f t="shared" si="14"/>
        <v>7159.87</v>
      </c>
      <c r="L106" s="508">
        <f t="shared" ref="L106:L112" si="18">SUM(K106-G106)</f>
        <v>-5.2299999999995634</v>
      </c>
      <c r="M106" s="549">
        <v>1.0673999999999999</v>
      </c>
      <c r="N106" s="509">
        <f t="shared" si="16"/>
        <v>-5.5825019999995336</v>
      </c>
      <c r="O106" s="374"/>
      <c r="P106" s="121"/>
    </row>
    <row r="107" spans="1:16" s="8" customFormat="1" ht="15" customHeight="1" x14ac:dyDescent="0.25">
      <c r="A107" s="500" t="s">
        <v>260</v>
      </c>
      <c r="B107" s="500" t="s">
        <v>261</v>
      </c>
      <c r="C107" s="500" t="s">
        <v>53</v>
      </c>
      <c r="D107" s="501">
        <v>40639</v>
      </c>
      <c r="E107" s="502">
        <v>393</v>
      </c>
      <c r="F107" s="503">
        <v>13.96</v>
      </c>
      <c r="G107" s="504">
        <f t="shared" si="17"/>
        <v>5486.2800000000007</v>
      </c>
      <c r="H107" s="558"/>
      <c r="I107" s="501">
        <v>40679</v>
      </c>
      <c r="J107" s="503">
        <v>13.285</v>
      </c>
      <c r="K107" s="507">
        <f t="shared" si="14"/>
        <v>5221.0050000000001</v>
      </c>
      <c r="L107" s="508">
        <f t="shared" si="18"/>
        <v>-265.27500000000055</v>
      </c>
      <c r="M107" s="549">
        <v>1.05749</v>
      </c>
      <c r="N107" s="509">
        <f t="shared" si="16"/>
        <v>-280.52565975000061</v>
      </c>
      <c r="O107" s="374"/>
      <c r="P107" s="121"/>
    </row>
    <row r="108" spans="1:16" s="8" customFormat="1" ht="15" customHeight="1" x14ac:dyDescent="0.25">
      <c r="A108" s="500" t="s">
        <v>262</v>
      </c>
      <c r="B108" s="500" t="s">
        <v>263</v>
      </c>
      <c r="C108" s="500" t="s">
        <v>53</v>
      </c>
      <c r="D108" s="501">
        <v>40654</v>
      </c>
      <c r="E108" s="502">
        <v>18072</v>
      </c>
      <c r="F108" s="503">
        <v>0.42</v>
      </c>
      <c r="G108" s="504">
        <f t="shared" si="17"/>
        <v>7590.24</v>
      </c>
      <c r="H108" s="558"/>
      <c r="I108" s="501">
        <v>40679</v>
      </c>
      <c r="J108" s="503">
        <v>0.36380000000000001</v>
      </c>
      <c r="K108" s="507">
        <f t="shared" si="14"/>
        <v>6574.5936000000002</v>
      </c>
      <c r="L108" s="508">
        <f t="shared" si="18"/>
        <v>-1015.6463999999996</v>
      </c>
      <c r="M108" s="549">
        <v>1.05749</v>
      </c>
      <c r="N108" s="509">
        <f t="shared" si="16"/>
        <v>-1074.0359115359997</v>
      </c>
      <c r="O108" s="374"/>
      <c r="P108" s="121"/>
    </row>
    <row r="109" spans="1:16" s="8" customFormat="1" ht="15" customHeight="1" x14ac:dyDescent="0.25">
      <c r="A109" s="500" t="s">
        <v>264</v>
      </c>
      <c r="B109" s="500" t="s">
        <v>265</v>
      </c>
      <c r="C109" s="500" t="s">
        <v>53</v>
      </c>
      <c r="D109" s="501">
        <v>40660</v>
      </c>
      <c r="E109" s="502">
        <v>278</v>
      </c>
      <c r="F109" s="503">
        <v>26.9</v>
      </c>
      <c r="G109" s="504">
        <f t="shared" si="17"/>
        <v>7478.2</v>
      </c>
      <c r="H109" s="558"/>
      <c r="I109" s="501">
        <v>40687</v>
      </c>
      <c r="J109" s="503">
        <v>26.15</v>
      </c>
      <c r="K109" s="507">
        <f t="shared" si="14"/>
        <v>7269.7</v>
      </c>
      <c r="L109" s="508">
        <f t="shared" si="18"/>
        <v>-208.5</v>
      </c>
      <c r="M109" s="549">
        <v>1.0505</v>
      </c>
      <c r="N109" s="509">
        <f t="shared" si="16"/>
        <v>-219.02924999999999</v>
      </c>
      <c r="O109" s="374"/>
      <c r="P109" s="121"/>
    </row>
    <row r="110" spans="1:16" s="8" customFormat="1" ht="15" customHeight="1" x14ac:dyDescent="0.25">
      <c r="A110" s="500" t="s">
        <v>266</v>
      </c>
      <c r="B110" s="500" t="s">
        <v>267</v>
      </c>
      <c r="C110" s="500" t="s">
        <v>53</v>
      </c>
      <c r="D110" s="501">
        <v>40673</v>
      </c>
      <c r="E110" s="502">
        <v>1336</v>
      </c>
      <c r="F110" s="503">
        <v>3.74</v>
      </c>
      <c r="G110" s="504">
        <f t="shared" si="17"/>
        <v>4996.6400000000003</v>
      </c>
      <c r="H110" s="558"/>
      <c r="I110" s="501">
        <v>40688</v>
      </c>
      <c r="J110" s="503">
        <v>3.552</v>
      </c>
      <c r="K110" s="507">
        <f t="shared" si="14"/>
        <v>4745.4719999999998</v>
      </c>
      <c r="L110" s="508">
        <f t="shared" si="18"/>
        <v>-251.16800000000057</v>
      </c>
      <c r="M110" s="549">
        <v>1.05579</v>
      </c>
      <c r="N110" s="509">
        <f t="shared" si="16"/>
        <v>-265.18066272000061</v>
      </c>
      <c r="O110" s="374"/>
      <c r="P110" s="121"/>
    </row>
    <row r="111" spans="1:16" s="8" customFormat="1" ht="15" customHeight="1" x14ac:dyDescent="0.25">
      <c r="A111" s="500" t="s">
        <v>268</v>
      </c>
      <c r="B111" s="500" t="s">
        <v>269</v>
      </c>
      <c r="C111" s="500" t="s">
        <v>53</v>
      </c>
      <c r="D111" s="501">
        <v>40638</v>
      </c>
      <c r="E111" s="502">
        <v>7250</v>
      </c>
      <c r="F111" s="503">
        <v>2.08</v>
      </c>
      <c r="G111" s="504">
        <f t="shared" si="17"/>
        <v>15080</v>
      </c>
      <c r="H111" s="558"/>
      <c r="I111" s="501">
        <v>40689</v>
      </c>
      <c r="J111" s="503">
        <v>2.1680000000000001</v>
      </c>
      <c r="K111" s="507">
        <f t="shared" si="14"/>
        <v>15718.000000000002</v>
      </c>
      <c r="L111" s="508">
        <f t="shared" si="18"/>
        <v>638.00000000000182</v>
      </c>
      <c r="M111" s="549">
        <v>1.0530299999999999</v>
      </c>
      <c r="N111" s="509">
        <f t="shared" si="16"/>
        <v>671.83314000000189</v>
      </c>
      <c r="O111" s="374"/>
      <c r="P111" s="121"/>
    </row>
    <row r="112" spans="1:16" s="8" customFormat="1" ht="15" customHeight="1" x14ac:dyDescent="0.25">
      <c r="A112" s="500" t="s">
        <v>197</v>
      </c>
      <c r="B112" s="500" t="s">
        <v>270</v>
      </c>
      <c r="C112" s="500" t="s">
        <v>53</v>
      </c>
      <c r="D112" s="501">
        <v>40660</v>
      </c>
      <c r="E112" s="502">
        <v>9230</v>
      </c>
      <c r="F112" s="503">
        <v>0.65</v>
      </c>
      <c r="G112" s="504">
        <f t="shared" si="17"/>
        <v>5999.5</v>
      </c>
      <c r="H112" s="558"/>
      <c r="I112" s="501">
        <v>40689</v>
      </c>
      <c r="J112" s="503">
        <v>0.60709999999999997</v>
      </c>
      <c r="K112" s="507">
        <f t="shared" si="14"/>
        <v>5603.5329999999994</v>
      </c>
      <c r="L112" s="508">
        <f t="shared" si="18"/>
        <v>-395.96700000000055</v>
      </c>
      <c r="M112" s="549">
        <v>1.0530299999999999</v>
      </c>
      <c r="N112" s="509">
        <f t="shared" si="16"/>
        <v>-416.96513001000056</v>
      </c>
      <c r="O112" s="374"/>
      <c r="P112" s="121"/>
    </row>
    <row r="113" spans="1:16" s="18" customFormat="1" ht="15" customHeight="1" x14ac:dyDescent="0.25">
      <c r="A113" s="511" t="s">
        <v>271</v>
      </c>
      <c r="B113" s="511" t="s">
        <v>272</v>
      </c>
      <c r="C113" s="511" t="s">
        <v>78</v>
      </c>
      <c r="D113" s="512">
        <v>40675</v>
      </c>
      <c r="E113" s="513">
        <v>2174</v>
      </c>
      <c r="F113" s="514">
        <v>2.2999999999999998</v>
      </c>
      <c r="G113" s="515">
        <f t="shared" si="17"/>
        <v>5000.2</v>
      </c>
      <c r="H113" s="522"/>
      <c r="I113" s="512">
        <v>40689</v>
      </c>
      <c r="J113" s="514">
        <v>2.4750000000000001</v>
      </c>
      <c r="K113" s="518">
        <f>SUM(E113*J113)</f>
        <v>5380.6500000000005</v>
      </c>
      <c r="L113" s="519">
        <f>SUM(G113-K113)</f>
        <v>-380.45000000000073</v>
      </c>
      <c r="M113" s="550">
        <v>1.0530299999999999</v>
      </c>
      <c r="N113" s="521">
        <f t="shared" si="16"/>
        <v>-400.62526350000076</v>
      </c>
      <c r="O113" s="381"/>
      <c r="P113" s="122"/>
    </row>
    <row r="114" spans="1:16" s="8" customFormat="1" ht="15" customHeight="1" x14ac:dyDescent="0.25">
      <c r="A114" s="500" t="s">
        <v>273</v>
      </c>
      <c r="B114" s="500" t="s">
        <v>6</v>
      </c>
      <c r="C114" s="500" t="s">
        <v>53</v>
      </c>
      <c r="D114" s="501">
        <v>40667</v>
      </c>
      <c r="E114" s="502">
        <v>471</v>
      </c>
      <c r="F114" s="503">
        <v>31.85</v>
      </c>
      <c r="G114" s="504">
        <f t="shared" si="17"/>
        <v>15001.35</v>
      </c>
      <c r="H114" s="558"/>
      <c r="I114" s="564"/>
      <c r="J114" s="503">
        <v>32.549999999999997</v>
      </c>
      <c r="K114" s="507">
        <f t="shared" si="14"/>
        <v>15331.05</v>
      </c>
      <c r="L114" s="508">
        <f>SUM(K114-G114)</f>
        <v>329.69999999999891</v>
      </c>
      <c r="M114" s="565">
        <v>1</v>
      </c>
      <c r="N114" s="509">
        <f t="shared" si="16"/>
        <v>329.69999999999891</v>
      </c>
      <c r="O114" s="374"/>
      <c r="P114" s="121"/>
    </row>
    <row r="115" spans="1:16" s="18" customFormat="1" ht="15" customHeight="1" x14ac:dyDescent="0.25">
      <c r="A115" s="511" t="s">
        <v>235</v>
      </c>
      <c r="B115" s="511" t="s">
        <v>274</v>
      </c>
      <c r="C115" s="511" t="s">
        <v>78</v>
      </c>
      <c r="D115" s="512">
        <v>40676</v>
      </c>
      <c r="E115" s="513">
        <v>7067</v>
      </c>
      <c r="F115" s="514">
        <v>1.415</v>
      </c>
      <c r="G115" s="515">
        <f t="shared" si="17"/>
        <v>9999.8050000000003</v>
      </c>
      <c r="H115" s="522"/>
      <c r="I115" s="566"/>
      <c r="J115" s="514">
        <v>1.4790000000000001</v>
      </c>
      <c r="K115" s="518">
        <f>SUM(E115*J115)</f>
        <v>10452.093000000001</v>
      </c>
      <c r="L115" s="519">
        <f>SUM(G115-K115)</f>
        <v>-452.28800000000047</v>
      </c>
      <c r="M115" s="567">
        <v>1</v>
      </c>
      <c r="N115" s="521">
        <f t="shared" si="16"/>
        <v>-452.28800000000047</v>
      </c>
      <c r="O115" s="115"/>
      <c r="P115" s="122"/>
    </row>
    <row r="116" spans="1:16" s="8" customFormat="1" ht="15" customHeight="1" x14ac:dyDescent="0.25">
      <c r="A116" s="500" t="s">
        <v>169</v>
      </c>
      <c r="B116" s="500" t="s">
        <v>223</v>
      </c>
      <c r="C116" s="14" t="s">
        <v>53</v>
      </c>
      <c r="D116" s="501">
        <v>40694</v>
      </c>
      <c r="E116" s="502">
        <v>1033</v>
      </c>
      <c r="F116" s="503">
        <v>9.68</v>
      </c>
      <c r="G116" s="504">
        <f t="shared" si="17"/>
        <v>9999.44</v>
      </c>
      <c r="H116" s="558"/>
      <c r="I116" s="564"/>
      <c r="J116" s="503">
        <v>9.0500000000000007</v>
      </c>
      <c r="K116" s="507">
        <f t="shared" si="14"/>
        <v>9348.6500000000015</v>
      </c>
      <c r="L116" s="508">
        <f>SUM(K116-G116)</f>
        <v>-650.78999999999905</v>
      </c>
      <c r="M116" s="565">
        <v>1</v>
      </c>
      <c r="N116" s="509">
        <f t="shared" si="16"/>
        <v>-650.78999999999905</v>
      </c>
      <c r="O116" s="115"/>
      <c r="P116" s="121"/>
    </row>
    <row r="117" spans="1:16" s="8" customFormat="1" ht="15" customHeight="1" x14ac:dyDescent="0.25">
      <c r="A117" s="500" t="s">
        <v>275</v>
      </c>
      <c r="B117" s="500" t="s">
        <v>276</v>
      </c>
      <c r="C117" s="500" t="s">
        <v>53</v>
      </c>
      <c r="D117" s="501">
        <v>40640</v>
      </c>
      <c r="E117" s="502">
        <v>30950</v>
      </c>
      <c r="F117" s="503">
        <v>0.48499999999999999</v>
      </c>
      <c r="G117" s="504">
        <f t="shared" si="17"/>
        <v>15010.75</v>
      </c>
      <c r="H117" s="558"/>
      <c r="I117" s="564"/>
      <c r="J117" s="503">
        <v>0.45</v>
      </c>
      <c r="K117" s="507">
        <f t="shared" si="14"/>
        <v>13927.5</v>
      </c>
      <c r="L117" s="508">
        <f>SUM(K117-G117)</f>
        <v>-1083.25</v>
      </c>
      <c r="M117" s="565">
        <v>1</v>
      </c>
      <c r="N117" s="509">
        <f t="shared" si="16"/>
        <v>-1083.25</v>
      </c>
      <c r="O117" s="115"/>
      <c r="P117" s="121"/>
    </row>
    <row r="118" spans="1:16" s="8" customFormat="1" ht="15" customHeight="1" x14ac:dyDescent="0.25">
      <c r="A118" s="500" t="s">
        <v>275</v>
      </c>
      <c r="B118" s="500" t="s">
        <v>276</v>
      </c>
      <c r="C118" s="500" t="s">
        <v>53</v>
      </c>
      <c r="D118" s="501">
        <v>40681</v>
      </c>
      <c r="E118" s="502">
        <v>20618</v>
      </c>
      <c r="F118" s="503">
        <v>0.48499999999999999</v>
      </c>
      <c r="G118" s="504">
        <f t="shared" si="17"/>
        <v>9999.73</v>
      </c>
      <c r="H118" s="558"/>
      <c r="I118" s="564"/>
      <c r="J118" s="503">
        <v>0.45</v>
      </c>
      <c r="K118" s="507">
        <f t="shared" si="14"/>
        <v>9278.1</v>
      </c>
      <c r="L118" s="508">
        <f>SUM(K118-G118)</f>
        <v>-721.6299999999992</v>
      </c>
      <c r="M118" s="565">
        <v>1</v>
      </c>
      <c r="N118" s="509">
        <f t="shared" si="16"/>
        <v>-721.6299999999992</v>
      </c>
      <c r="O118" s="115"/>
      <c r="P118" s="121"/>
    </row>
    <row r="119" spans="1:16" s="8" customFormat="1" ht="15" customHeight="1" x14ac:dyDescent="0.25">
      <c r="A119" s="500" t="s">
        <v>277</v>
      </c>
      <c r="B119" s="500" t="s">
        <v>225</v>
      </c>
      <c r="C119" s="500" t="s">
        <v>53</v>
      </c>
      <c r="D119" s="501">
        <v>40682</v>
      </c>
      <c r="E119" s="502">
        <v>2747</v>
      </c>
      <c r="F119" s="503">
        <v>3.64</v>
      </c>
      <c r="G119" s="504">
        <f t="shared" si="17"/>
        <v>9999.08</v>
      </c>
      <c r="H119" s="558"/>
      <c r="I119" s="564"/>
      <c r="J119" s="503">
        <v>3.59</v>
      </c>
      <c r="K119" s="507">
        <f t="shared" si="14"/>
        <v>9861.73</v>
      </c>
      <c r="L119" s="508">
        <f>SUM(K119-G119)</f>
        <v>-137.35000000000036</v>
      </c>
      <c r="M119" s="565">
        <v>1</v>
      </c>
      <c r="N119" s="509">
        <f t="shared" si="16"/>
        <v>-137.35000000000036</v>
      </c>
      <c r="O119" s="115"/>
      <c r="P119" s="121"/>
    </row>
    <row r="120" spans="1:16" s="18" customFormat="1" ht="15" customHeight="1" x14ac:dyDescent="0.25">
      <c r="A120" s="511" t="s">
        <v>278</v>
      </c>
      <c r="B120" s="511" t="s">
        <v>279</v>
      </c>
      <c r="C120" s="511" t="s">
        <v>78</v>
      </c>
      <c r="D120" s="512">
        <v>40679</v>
      </c>
      <c r="E120" s="513">
        <v>7042</v>
      </c>
      <c r="F120" s="514">
        <v>1.42</v>
      </c>
      <c r="G120" s="515">
        <f t="shared" si="17"/>
        <v>9999.64</v>
      </c>
      <c r="H120" s="522"/>
      <c r="I120" s="566"/>
      <c r="J120" s="514">
        <v>1.4850000000000001</v>
      </c>
      <c r="K120" s="518">
        <f t="shared" ref="K120:K126" si="19">SUM(E120*J120)</f>
        <v>10457.370000000001</v>
      </c>
      <c r="L120" s="519">
        <f>SUM(G120-K120)</f>
        <v>-457.73000000000138</v>
      </c>
      <c r="M120" s="567">
        <v>1</v>
      </c>
      <c r="N120" s="521">
        <f t="shared" si="16"/>
        <v>-457.73000000000138</v>
      </c>
      <c r="O120" s="115"/>
      <c r="P120" s="122"/>
    </row>
    <row r="121" spans="1:16" s="18" customFormat="1" ht="15" customHeight="1" x14ac:dyDescent="0.25">
      <c r="A121" s="511" t="s">
        <v>12</v>
      </c>
      <c r="B121" s="511" t="s">
        <v>13</v>
      </c>
      <c r="C121" s="511" t="s">
        <v>78</v>
      </c>
      <c r="D121" s="512">
        <v>40687</v>
      </c>
      <c r="E121" s="513">
        <v>10362</v>
      </c>
      <c r="F121" s="514">
        <v>0.96499999999999997</v>
      </c>
      <c r="G121" s="515">
        <f t="shared" si="17"/>
        <v>9999.33</v>
      </c>
      <c r="H121" s="522"/>
      <c r="I121" s="566"/>
      <c r="J121" s="514">
        <v>1.05</v>
      </c>
      <c r="K121" s="518">
        <f t="shared" si="19"/>
        <v>10880.1</v>
      </c>
      <c r="L121" s="519">
        <f>SUM(G121-K121)</f>
        <v>-880.77000000000044</v>
      </c>
      <c r="M121" s="567">
        <v>1</v>
      </c>
      <c r="N121" s="521">
        <f t="shared" si="16"/>
        <v>-880.77000000000044</v>
      </c>
      <c r="O121" s="115"/>
      <c r="P121" s="122"/>
    </row>
    <row r="122" spans="1:16" s="8" customFormat="1" ht="15" customHeight="1" x14ac:dyDescent="0.25">
      <c r="A122" s="500" t="s">
        <v>280</v>
      </c>
      <c r="B122" s="500" t="s">
        <v>11</v>
      </c>
      <c r="C122" s="500" t="s">
        <v>53</v>
      </c>
      <c r="D122" s="501">
        <v>40653</v>
      </c>
      <c r="E122" s="502">
        <v>1558</v>
      </c>
      <c r="F122" s="503">
        <v>7.7</v>
      </c>
      <c r="G122" s="504">
        <f t="shared" si="17"/>
        <v>11996.6</v>
      </c>
      <c r="H122" s="558"/>
      <c r="I122" s="564"/>
      <c r="J122" s="503">
        <v>3.63</v>
      </c>
      <c r="K122" s="507">
        <f t="shared" si="19"/>
        <v>5655.54</v>
      </c>
      <c r="L122" s="508">
        <f>SUM(K122-G122)</f>
        <v>-6341.06</v>
      </c>
      <c r="M122" s="565">
        <v>1</v>
      </c>
      <c r="N122" s="509">
        <f t="shared" si="16"/>
        <v>-6341.06</v>
      </c>
      <c r="O122" s="115"/>
      <c r="P122" s="121"/>
    </row>
    <row r="123" spans="1:16" s="8" customFormat="1" ht="15" customHeight="1" x14ac:dyDescent="0.25">
      <c r="A123" s="500" t="s">
        <v>281</v>
      </c>
      <c r="B123" s="500" t="s">
        <v>282</v>
      </c>
      <c r="C123" s="500"/>
      <c r="D123" s="501">
        <v>40653</v>
      </c>
      <c r="E123" s="502">
        <v>1558</v>
      </c>
      <c r="F123" s="503">
        <v>0</v>
      </c>
      <c r="G123" s="504">
        <f t="shared" si="17"/>
        <v>0</v>
      </c>
      <c r="H123" s="558"/>
      <c r="I123" s="501">
        <v>40717</v>
      </c>
      <c r="J123" s="503">
        <v>4.2</v>
      </c>
      <c r="K123" s="507">
        <f t="shared" si="19"/>
        <v>6543.6</v>
      </c>
      <c r="L123" s="508">
        <f>SUM(K123-G123)</f>
        <v>6543.6</v>
      </c>
      <c r="M123" s="549">
        <v>1.0567800000000001</v>
      </c>
      <c r="N123" s="509">
        <f t="shared" si="16"/>
        <v>6915.1456080000007</v>
      </c>
      <c r="O123" s="115"/>
      <c r="P123" s="121"/>
    </row>
    <row r="124" spans="1:16" s="18" customFormat="1" ht="15" customHeight="1" x14ac:dyDescent="0.25">
      <c r="A124" s="511" t="s">
        <v>283</v>
      </c>
      <c r="B124" s="511" t="s">
        <v>284</v>
      </c>
      <c r="C124" s="511" t="s">
        <v>78</v>
      </c>
      <c r="D124" s="512">
        <v>40701</v>
      </c>
      <c r="E124" s="513">
        <v>4184</v>
      </c>
      <c r="F124" s="514">
        <v>2.39</v>
      </c>
      <c r="G124" s="515">
        <f t="shared" si="17"/>
        <v>9999.76</v>
      </c>
      <c r="H124" s="522"/>
      <c r="I124" s="512">
        <v>40723</v>
      </c>
      <c r="J124" s="514">
        <v>2.7349999999999999</v>
      </c>
      <c r="K124" s="518">
        <f t="shared" si="19"/>
        <v>11443.24</v>
      </c>
      <c r="L124" s="519">
        <f>SUM(G124-K124)</f>
        <v>-1443.4799999999996</v>
      </c>
      <c r="M124" s="550">
        <v>1.05402</v>
      </c>
      <c r="N124" s="521">
        <f t="shared" si="16"/>
        <v>-1521.4567895999994</v>
      </c>
      <c r="O124" s="115"/>
      <c r="P124" s="122"/>
    </row>
    <row r="125" spans="1:16" s="18" customFormat="1" ht="15" customHeight="1" x14ac:dyDescent="0.25">
      <c r="A125" s="511" t="s">
        <v>285</v>
      </c>
      <c r="B125" s="511" t="s">
        <v>286</v>
      </c>
      <c r="C125" s="511" t="s">
        <v>78</v>
      </c>
      <c r="D125" s="512">
        <v>40714</v>
      </c>
      <c r="E125" s="513">
        <v>998</v>
      </c>
      <c r="F125" s="514">
        <v>10.02</v>
      </c>
      <c r="G125" s="515">
        <f t="shared" si="17"/>
        <v>9999.9599999999991</v>
      </c>
      <c r="H125" s="522"/>
      <c r="I125" s="512">
        <v>40725</v>
      </c>
      <c r="J125" s="514">
        <v>11.07</v>
      </c>
      <c r="K125" s="518">
        <f t="shared" si="19"/>
        <v>11047.86</v>
      </c>
      <c r="L125" s="519">
        <f>SUM(G125-K125)</f>
        <v>-1047.9000000000015</v>
      </c>
      <c r="M125" s="550">
        <v>1.07223</v>
      </c>
      <c r="N125" s="521">
        <f t="shared" si="16"/>
        <v>-1123.5898170000016</v>
      </c>
      <c r="O125" s="115"/>
      <c r="P125" s="122"/>
    </row>
    <row r="126" spans="1:16" s="8" customFormat="1" ht="15" customHeight="1" x14ac:dyDescent="0.25">
      <c r="A126" s="500" t="s">
        <v>287</v>
      </c>
      <c r="B126" s="500" t="s">
        <v>288</v>
      </c>
      <c r="C126" s="500" t="s">
        <v>53</v>
      </c>
      <c r="D126" s="501">
        <v>40623</v>
      </c>
      <c r="E126" s="502">
        <v>15900</v>
      </c>
      <c r="F126" s="503">
        <v>0.71</v>
      </c>
      <c r="G126" s="504">
        <f t="shared" si="17"/>
        <v>11289</v>
      </c>
      <c r="H126" s="558"/>
      <c r="I126" s="501">
        <v>40725</v>
      </c>
      <c r="J126" s="503">
        <v>0.69210000000000005</v>
      </c>
      <c r="K126" s="507">
        <f t="shared" si="19"/>
        <v>11004.390000000001</v>
      </c>
      <c r="L126" s="508">
        <f>SUM(K126-G126)</f>
        <v>-284.60999999999876</v>
      </c>
      <c r="M126" s="549">
        <v>1.07223</v>
      </c>
      <c r="N126" s="509">
        <f t="shared" si="16"/>
        <v>-305.16738029999868</v>
      </c>
      <c r="O126" s="115"/>
      <c r="P126" s="121"/>
    </row>
    <row r="127" spans="1:16" s="18" customFormat="1" ht="15" customHeight="1" x14ac:dyDescent="0.25">
      <c r="A127" s="511" t="s">
        <v>289</v>
      </c>
      <c r="B127" s="511" t="s">
        <v>290</v>
      </c>
      <c r="C127" s="511" t="s">
        <v>78</v>
      </c>
      <c r="D127" s="512">
        <v>40714</v>
      </c>
      <c r="E127" s="513">
        <v>514</v>
      </c>
      <c r="F127" s="514">
        <v>19.43</v>
      </c>
      <c r="G127" s="515">
        <f t="shared" si="17"/>
        <v>9987.02</v>
      </c>
      <c r="H127" s="522"/>
      <c r="I127" s="512">
        <v>40725</v>
      </c>
      <c r="J127" s="514">
        <v>22.01</v>
      </c>
      <c r="K127" s="518">
        <f t="shared" ref="K127:K133" si="20">SUM(E127*J127)</f>
        <v>11313.140000000001</v>
      </c>
      <c r="L127" s="519">
        <f t="shared" ref="L127:L133" si="21">SUM(G127-K127)</f>
        <v>-1326.1200000000008</v>
      </c>
      <c r="M127" s="550">
        <v>1.07223</v>
      </c>
      <c r="N127" s="521">
        <f t="shared" si="16"/>
        <v>-1421.905647600001</v>
      </c>
      <c r="O127" s="115"/>
      <c r="P127" s="122"/>
    </row>
    <row r="128" spans="1:16" s="18" customFormat="1" ht="15" customHeight="1" x14ac:dyDescent="0.25">
      <c r="A128" s="511" t="s">
        <v>219</v>
      </c>
      <c r="B128" s="511" t="s">
        <v>219</v>
      </c>
      <c r="C128" s="511" t="s">
        <v>78</v>
      </c>
      <c r="D128" s="512">
        <v>40644</v>
      </c>
      <c r="E128" s="513">
        <v>4559</v>
      </c>
      <c r="F128" s="514">
        <v>3.22</v>
      </c>
      <c r="G128" s="515">
        <f t="shared" si="17"/>
        <v>14679.980000000001</v>
      </c>
      <c r="H128" s="522"/>
      <c r="I128" s="512">
        <v>40728</v>
      </c>
      <c r="J128" s="514">
        <v>2.931</v>
      </c>
      <c r="K128" s="518">
        <f t="shared" si="20"/>
        <v>13362.429</v>
      </c>
      <c r="L128" s="508">
        <f t="shared" si="21"/>
        <v>1317.5510000000013</v>
      </c>
      <c r="M128" s="550">
        <v>1.07761</v>
      </c>
      <c r="N128" s="509">
        <f t="shared" si="16"/>
        <v>1419.8061331100014</v>
      </c>
      <c r="O128" s="115"/>
      <c r="P128" s="122"/>
    </row>
    <row r="129" spans="1:16" s="18" customFormat="1" ht="15" customHeight="1" x14ac:dyDescent="0.25">
      <c r="A129" s="511" t="s">
        <v>291</v>
      </c>
      <c r="B129" s="511" t="s">
        <v>209</v>
      </c>
      <c r="C129" s="511" t="s">
        <v>78</v>
      </c>
      <c r="D129" s="512">
        <v>40667</v>
      </c>
      <c r="E129" s="513">
        <v>3456</v>
      </c>
      <c r="F129" s="514">
        <v>4.34</v>
      </c>
      <c r="G129" s="515">
        <f t="shared" si="17"/>
        <v>14999.039999999999</v>
      </c>
      <c r="H129" s="522"/>
      <c r="I129" s="512">
        <v>40728</v>
      </c>
      <c r="J129" s="514">
        <v>4.2249999999999996</v>
      </c>
      <c r="K129" s="518">
        <f t="shared" si="20"/>
        <v>14601.599999999999</v>
      </c>
      <c r="L129" s="508">
        <f t="shared" si="21"/>
        <v>397.44000000000051</v>
      </c>
      <c r="M129" s="550">
        <v>1.07761</v>
      </c>
      <c r="N129" s="509">
        <f t="shared" si="16"/>
        <v>428.28531840000051</v>
      </c>
      <c r="O129" s="115"/>
      <c r="P129" s="122"/>
    </row>
    <row r="130" spans="1:16" s="18" customFormat="1" ht="15" customHeight="1" x14ac:dyDescent="0.25">
      <c r="A130" s="511" t="s">
        <v>292</v>
      </c>
      <c r="B130" s="511" t="s">
        <v>149</v>
      </c>
      <c r="C130" s="511" t="s">
        <v>78</v>
      </c>
      <c r="D130" s="512">
        <v>40671</v>
      </c>
      <c r="E130" s="513">
        <v>1085</v>
      </c>
      <c r="F130" s="514">
        <v>9.2100000000000009</v>
      </c>
      <c r="G130" s="515">
        <f t="shared" si="17"/>
        <v>9992.85</v>
      </c>
      <c r="H130" s="522"/>
      <c r="I130" s="512">
        <v>40730</v>
      </c>
      <c r="J130" s="514">
        <v>8.3279999999999994</v>
      </c>
      <c r="K130" s="518">
        <f t="shared" si="20"/>
        <v>9035.8799999999992</v>
      </c>
      <c r="L130" s="508">
        <f t="shared" si="21"/>
        <v>956.97000000000116</v>
      </c>
      <c r="M130" s="550">
        <v>1.06917</v>
      </c>
      <c r="N130" s="509">
        <f t="shared" si="16"/>
        <v>1023.1636149000012</v>
      </c>
      <c r="O130" s="115"/>
      <c r="P130" s="122"/>
    </row>
    <row r="131" spans="1:16" s="18" customFormat="1" ht="15" customHeight="1" x14ac:dyDescent="0.25">
      <c r="A131" s="511" t="s">
        <v>293</v>
      </c>
      <c r="B131" s="511" t="s">
        <v>294</v>
      </c>
      <c r="C131" s="511" t="s">
        <v>78</v>
      </c>
      <c r="D131" s="512">
        <v>40665</v>
      </c>
      <c r="E131" s="513">
        <v>9009</v>
      </c>
      <c r="F131" s="514">
        <v>1.665</v>
      </c>
      <c r="G131" s="515">
        <f t="shared" si="17"/>
        <v>14999.985000000001</v>
      </c>
      <c r="H131" s="522"/>
      <c r="I131" s="512">
        <v>40731</v>
      </c>
      <c r="J131" s="514">
        <v>1.3440000000000001</v>
      </c>
      <c r="K131" s="518">
        <f t="shared" si="20"/>
        <v>12108.096000000001</v>
      </c>
      <c r="L131" s="508">
        <f t="shared" si="21"/>
        <v>2891.8889999999992</v>
      </c>
      <c r="M131" s="550">
        <v>1.0697300000000001</v>
      </c>
      <c r="N131" s="509">
        <f t="shared" si="16"/>
        <v>3093.5404199699992</v>
      </c>
      <c r="O131" s="115"/>
      <c r="P131" s="122"/>
    </row>
    <row r="132" spans="1:16" s="18" customFormat="1" ht="15" customHeight="1" x14ac:dyDescent="0.25">
      <c r="A132" s="511" t="s">
        <v>295</v>
      </c>
      <c r="B132" s="511" t="s">
        <v>296</v>
      </c>
      <c r="C132" s="511" t="s">
        <v>78</v>
      </c>
      <c r="D132" s="512">
        <v>40714</v>
      </c>
      <c r="E132" s="513">
        <v>681</v>
      </c>
      <c r="F132" s="514">
        <v>14.67</v>
      </c>
      <c r="G132" s="515">
        <f t="shared" si="17"/>
        <v>9990.27</v>
      </c>
      <c r="H132" s="522"/>
      <c r="I132" s="512">
        <v>40732</v>
      </c>
      <c r="J132" s="514">
        <v>16.57</v>
      </c>
      <c r="K132" s="518">
        <f t="shared" si="20"/>
        <v>11284.17</v>
      </c>
      <c r="L132" s="519">
        <f t="shared" si="21"/>
        <v>-1293.8999999999996</v>
      </c>
      <c r="M132" s="550">
        <v>1.07751</v>
      </c>
      <c r="N132" s="521">
        <f t="shared" si="16"/>
        <v>-1394.1901889999995</v>
      </c>
      <c r="O132" s="115"/>
      <c r="P132" s="122"/>
    </row>
    <row r="133" spans="1:16" s="18" customFormat="1" ht="15" customHeight="1" x14ac:dyDescent="0.25">
      <c r="A133" s="511" t="s">
        <v>297</v>
      </c>
      <c r="B133" s="511" t="s">
        <v>298</v>
      </c>
      <c r="C133" s="511" t="s">
        <v>78</v>
      </c>
      <c r="D133" s="512">
        <v>40679</v>
      </c>
      <c r="E133" s="513">
        <v>1524</v>
      </c>
      <c r="F133" s="514">
        <v>6.56</v>
      </c>
      <c r="G133" s="515">
        <f t="shared" si="17"/>
        <v>9997.4399999999987</v>
      </c>
      <c r="H133" s="522"/>
      <c r="I133" s="512">
        <v>40737</v>
      </c>
      <c r="J133" s="514">
        <v>6.835</v>
      </c>
      <c r="K133" s="518">
        <f t="shared" si="20"/>
        <v>10416.539999999999</v>
      </c>
      <c r="L133" s="519">
        <f t="shared" si="21"/>
        <v>-419.10000000000036</v>
      </c>
      <c r="M133" s="550">
        <v>1.05942</v>
      </c>
      <c r="N133" s="521">
        <f t="shared" si="16"/>
        <v>-444.00292200000041</v>
      </c>
      <c r="O133" s="115"/>
      <c r="P133" s="122"/>
    </row>
    <row r="134" spans="1:16" s="8" customFormat="1" ht="15" customHeight="1" x14ac:dyDescent="0.25">
      <c r="A134" s="500" t="s">
        <v>299</v>
      </c>
      <c r="B134" s="500" t="s">
        <v>300</v>
      </c>
      <c r="C134" s="500" t="s">
        <v>53</v>
      </c>
      <c r="D134" s="501">
        <v>40661</v>
      </c>
      <c r="E134" s="502">
        <v>1470</v>
      </c>
      <c r="F134" s="503">
        <v>8.17</v>
      </c>
      <c r="G134" s="504">
        <f t="shared" si="17"/>
        <v>12009.9</v>
      </c>
      <c r="H134" s="558"/>
      <c r="I134" s="501">
        <v>40737</v>
      </c>
      <c r="J134" s="503">
        <v>7.8390000000000004</v>
      </c>
      <c r="K134" s="507">
        <f t="shared" ref="K134:K141" si="22">SUM(E134*J134)</f>
        <v>11523.33</v>
      </c>
      <c r="L134" s="508">
        <f>SUM(K134-G134)</f>
        <v>-486.56999999999971</v>
      </c>
      <c r="M134" s="549">
        <v>1.05942</v>
      </c>
      <c r="N134" s="509">
        <f t="shared" si="16"/>
        <v>-515.48198939999975</v>
      </c>
      <c r="O134" s="115"/>
      <c r="P134" s="121"/>
    </row>
    <row r="135" spans="1:16" s="8" customFormat="1" ht="15" customHeight="1" x14ac:dyDescent="0.25">
      <c r="A135" s="500" t="s">
        <v>299</v>
      </c>
      <c r="B135" s="500" t="s">
        <v>300</v>
      </c>
      <c r="C135" s="500" t="s">
        <v>53</v>
      </c>
      <c r="D135" s="501">
        <v>40682</v>
      </c>
      <c r="E135" s="502">
        <v>1150</v>
      </c>
      <c r="F135" s="503">
        <v>8.39</v>
      </c>
      <c r="G135" s="504">
        <f t="shared" si="17"/>
        <v>9648.5</v>
      </c>
      <c r="H135" s="558"/>
      <c r="I135" s="501">
        <v>40739</v>
      </c>
      <c r="J135" s="503">
        <v>7.8390000000000004</v>
      </c>
      <c r="K135" s="507">
        <f t="shared" si="22"/>
        <v>9014.85</v>
      </c>
      <c r="L135" s="508">
        <f>SUM(K135-G135)</f>
        <v>-633.64999999999964</v>
      </c>
      <c r="M135" s="549">
        <v>1.07216</v>
      </c>
      <c r="N135" s="509">
        <f t="shared" si="16"/>
        <v>-679.37418399999956</v>
      </c>
      <c r="O135" s="115"/>
      <c r="P135" s="121"/>
    </row>
    <row r="136" spans="1:16" s="18" customFormat="1" ht="15" customHeight="1" x14ac:dyDescent="0.25">
      <c r="A136" s="511" t="s">
        <v>301</v>
      </c>
      <c r="B136" s="511" t="s">
        <v>302</v>
      </c>
      <c r="C136" s="511" t="s">
        <v>78</v>
      </c>
      <c r="D136" s="512">
        <v>40714</v>
      </c>
      <c r="E136" s="513">
        <v>429</v>
      </c>
      <c r="F136" s="514">
        <v>23.28</v>
      </c>
      <c r="G136" s="515">
        <f t="shared" si="17"/>
        <v>9987.1200000000008</v>
      </c>
      <c r="H136" s="522"/>
      <c r="I136" s="512">
        <v>40743</v>
      </c>
      <c r="J136" s="514">
        <v>25.67</v>
      </c>
      <c r="K136" s="518">
        <f t="shared" si="22"/>
        <v>11012.43</v>
      </c>
      <c r="L136" s="519">
        <f>SUM(G136-K136)</f>
        <v>-1025.3099999999995</v>
      </c>
      <c r="M136" s="550">
        <v>1.0605899999999999</v>
      </c>
      <c r="N136" s="521">
        <f t="shared" si="16"/>
        <v>-1087.4335328999994</v>
      </c>
      <c r="O136" s="115"/>
      <c r="P136" s="122"/>
    </row>
    <row r="137" spans="1:16" s="8" customFormat="1" ht="15" customHeight="1" x14ac:dyDescent="0.25">
      <c r="A137" s="500" t="s">
        <v>303</v>
      </c>
      <c r="B137" s="500" t="s">
        <v>304</v>
      </c>
      <c r="C137" s="500" t="s">
        <v>53</v>
      </c>
      <c r="D137" s="501">
        <v>40676</v>
      </c>
      <c r="E137" s="502">
        <v>10869</v>
      </c>
      <c r="F137" s="503">
        <v>0.92</v>
      </c>
      <c r="G137" s="504">
        <f t="shared" si="17"/>
        <v>9999.48</v>
      </c>
      <c r="H137" s="558"/>
      <c r="I137" s="501">
        <v>40744</v>
      </c>
      <c r="J137" s="503">
        <v>0.91320000000000001</v>
      </c>
      <c r="K137" s="507">
        <f t="shared" si="22"/>
        <v>9925.5707999999995</v>
      </c>
      <c r="L137" s="508">
        <f>SUM(K137-G137)</f>
        <v>-73.909200000000055</v>
      </c>
      <c r="M137" s="549">
        <v>1.073</v>
      </c>
      <c r="N137" s="509">
        <f t="shared" si="16"/>
        <v>-79.30457160000006</v>
      </c>
      <c r="O137" s="115"/>
      <c r="P137" s="121"/>
    </row>
    <row r="138" spans="1:16" s="18" customFormat="1" ht="15" customHeight="1" x14ac:dyDescent="0.25">
      <c r="A138" s="568" t="s">
        <v>305</v>
      </c>
      <c r="B138" s="568" t="s">
        <v>306</v>
      </c>
      <c r="C138" s="568" t="s">
        <v>78</v>
      </c>
      <c r="D138" s="569">
        <v>40616</v>
      </c>
      <c r="E138" s="570">
        <v>1590</v>
      </c>
      <c r="F138" s="566">
        <v>9.3930000000000007</v>
      </c>
      <c r="G138" s="571">
        <f t="shared" ref="G138:G169" si="23">SUM(E138*F138)</f>
        <v>14934.87</v>
      </c>
      <c r="H138" s="572"/>
      <c r="I138" s="569">
        <v>40930</v>
      </c>
      <c r="J138" s="566">
        <v>4.383</v>
      </c>
      <c r="K138" s="573">
        <f t="shared" si="22"/>
        <v>6968.97</v>
      </c>
      <c r="L138" s="574">
        <f>SUM(G138-K138)</f>
        <v>7965.9000000000005</v>
      </c>
      <c r="M138" s="567">
        <v>1</v>
      </c>
      <c r="N138" s="575">
        <f t="shared" si="16"/>
        <v>7965.9000000000005</v>
      </c>
      <c r="O138" s="115"/>
      <c r="P138" s="122"/>
    </row>
    <row r="139" spans="1:16" s="18" customFormat="1" ht="15" customHeight="1" x14ac:dyDescent="0.25">
      <c r="A139" s="511" t="s">
        <v>307</v>
      </c>
      <c r="B139" s="511" t="s">
        <v>308</v>
      </c>
      <c r="C139" s="511" t="s">
        <v>78</v>
      </c>
      <c r="D139" s="512">
        <v>40647</v>
      </c>
      <c r="E139" s="513">
        <v>1547</v>
      </c>
      <c r="F139" s="514">
        <v>24.2</v>
      </c>
      <c r="G139" s="515">
        <f t="shared" si="23"/>
        <v>37437.4</v>
      </c>
      <c r="H139" s="522"/>
      <c r="I139" s="512">
        <v>40750</v>
      </c>
      <c r="J139" s="514">
        <v>21.93</v>
      </c>
      <c r="K139" s="518">
        <f t="shared" si="22"/>
        <v>33925.71</v>
      </c>
      <c r="L139" s="508">
        <f>SUM(G139-K139)</f>
        <v>3511.6900000000023</v>
      </c>
      <c r="M139" s="550">
        <v>1.0841700000000001</v>
      </c>
      <c r="N139" s="509">
        <f t="shared" si="16"/>
        <v>3807.2689473000028</v>
      </c>
      <c r="O139" s="115"/>
      <c r="P139" s="122"/>
    </row>
    <row r="140" spans="1:16" s="18" customFormat="1" ht="15" customHeight="1" x14ac:dyDescent="0.25">
      <c r="A140" s="511" t="s">
        <v>137</v>
      </c>
      <c r="B140" s="511" t="s">
        <v>203</v>
      </c>
      <c r="C140" s="511" t="s">
        <v>78</v>
      </c>
      <c r="D140" s="512">
        <v>40700</v>
      </c>
      <c r="E140" s="513">
        <v>5000</v>
      </c>
      <c r="F140" s="514">
        <v>2</v>
      </c>
      <c r="G140" s="515">
        <f t="shared" si="23"/>
        <v>10000</v>
      </c>
      <c r="H140" s="522"/>
      <c r="I140" s="512">
        <v>40750</v>
      </c>
      <c r="J140" s="514">
        <v>2.1219999999999999</v>
      </c>
      <c r="K140" s="518">
        <f t="shared" si="22"/>
        <v>10610</v>
      </c>
      <c r="L140" s="519">
        <f>SUM(G140-K140)</f>
        <v>-610</v>
      </c>
      <c r="M140" s="550">
        <v>1.0841700000000001</v>
      </c>
      <c r="N140" s="521">
        <f t="shared" si="16"/>
        <v>-661.34370000000001</v>
      </c>
      <c r="O140" s="115"/>
      <c r="P140" s="122"/>
    </row>
    <row r="141" spans="1:16" s="8" customFormat="1" ht="15" customHeight="1" x14ac:dyDescent="0.25">
      <c r="A141" s="500" t="s">
        <v>145</v>
      </c>
      <c r="B141" s="500" t="s">
        <v>309</v>
      </c>
      <c r="C141" s="500" t="s">
        <v>53</v>
      </c>
      <c r="D141" s="501">
        <v>40694</v>
      </c>
      <c r="E141" s="502">
        <v>3215</v>
      </c>
      <c r="F141" s="503">
        <v>3.11</v>
      </c>
      <c r="G141" s="504">
        <f t="shared" si="23"/>
        <v>9998.65</v>
      </c>
      <c r="H141" s="558"/>
      <c r="I141" s="501">
        <v>40780</v>
      </c>
      <c r="J141" s="503">
        <v>2.7839999999999998</v>
      </c>
      <c r="K141" s="507">
        <f t="shared" si="22"/>
        <v>8950.56</v>
      </c>
      <c r="L141" s="508">
        <f>SUM(K141-G141)</f>
        <v>-1048.0900000000001</v>
      </c>
      <c r="M141" s="549">
        <v>1.0472999999999999</v>
      </c>
      <c r="N141" s="509">
        <f t="shared" si="16"/>
        <v>-1097.664657</v>
      </c>
      <c r="O141" s="115"/>
      <c r="P141" s="121"/>
    </row>
    <row r="142" spans="1:16" s="18" customFormat="1" ht="15" customHeight="1" x14ac:dyDescent="0.25">
      <c r="A142" s="511" t="s">
        <v>226</v>
      </c>
      <c r="B142" s="511" t="s">
        <v>226</v>
      </c>
      <c r="C142" s="511" t="s">
        <v>78</v>
      </c>
      <c r="D142" s="512">
        <v>40714</v>
      </c>
      <c r="E142" s="513">
        <v>2105</v>
      </c>
      <c r="F142" s="514">
        <v>4.75</v>
      </c>
      <c r="G142" s="515">
        <f t="shared" si="23"/>
        <v>9998.75</v>
      </c>
      <c r="H142" s="522"/>
      <c r="I142" s="512">
        <v>40786</v>
      </c>
      <c r="J142" s="514">
        <v>4.32</v>
      </c>
      <c r="K142" s="518">
        <f t="shared" ref="K142:K147" si="24">SUM(E142*J142)</f>
        <v>9093.6</v>
      </c>
      <c r="L142" s="508">
        <f t="shared" ref="L142:L147" si="25">SUM(G142-K142)</f>
        <v>905.14999999999964</v>
      </c>
      <c r="M142" s="550">
        <v>1.06806</v>
      </c>
      <c r="N142" s="509">
        <f t="shared" si="16"/>
        <v>966.75450899999964</v>
      </c>
      <c r="O142" s="115"/>
      <c r="P142" s="122"/>
    </row>
    <row r="143" spans="1:16" s="18" customFormat="1" ht="15" customHeight="1" x14ac:dyDescent="0.25">
      <c r="A143" s="511" t="s">
        <v>144</v>
      </c>
      <c r="B143" s="511" t="s">
        <v>310</v>
      </c>
      <c r="C143" s="511" t="s">
        <v>78</v>
      </c>
      <c r="D143" s="512">
        <v>40686</v>
      </c>
      <c r="E143" s="513">
        <v>1916</v>
      </c>
      <c r="F143" s="514">
        <v>5.22</v>
      </c>
      <c r="G143" s="515">
        <f t="shared" si="23"/>
        <v>10001.519999999999</v>
      </c>
      <c r="H143" s="522"/>
      <c r="I143" s="512">
        <v>40787</v>
      </c>
      <c r="J143" s="514">
        <v>4.7539999999999996</v>
      </c>
      <c r="K143" s="518">
        <f t="shared" si="24"/>
        <v>9108.6639999999989</v>
      </c>
      <c r="L143" s="508">
        <f t="shared" si="25"/>
        <v>892.85599999999977</v>
      </c>
      <c r="M143" s="550">
        <v>1.0705199999999999</v>
      </c>
      <c r="N143" s="509">
        <f t="shared" si="16"/>
        <v>955.82020511999963</v>
      </c>
      <c r="O143" s="115"/>
      <c r="P143" s="122"/>
    </row>
    <row r="144" spans="1:16" s="18" customFormat="1" ht="15" customHeight="1" x14ac:dyDescent="0.25">
      <c r="A144" s="511" t="s">
        <v>311</v>
      </c>
      <c r="B144" s="511" t="s">
        <v>312</v>
      </c>
      <c r="C144" s="511" t="s">
        <v>78</v>
      </c>
      <c r="D144" s="512">
        <v>40701</v>
      </c>
      <c r="E144" s="513">
        <v>2512</v>
      </c>
      <c r="F144" s="514">
        <v>3.98</v>
      </c>
      <c r="G144" s="515">
        <f t="shared" si="23"/>
        <v>9997.76</v>
      </c>
      <c r="H144" s="522"/>
      <c r="I144" s="512">
        <v>40801</v>
      </c>
      <c r="J144" s="514">
        <v>3.0569999999999999</v>
      </c>
      <c r="K144" s="518">
        <f t="shared" si="24"/>
        <v>7679.1840000000002</v>
      </c>
      <c r="L144" s="508">
        <f t="shared" si="25"/>
        <v>2318.576</v>
      </c>
      <c r="M144" s="550">
        <v>1.0276799999999999</v>
      </c>
      <c r="N144" s="509">
        <f t="shared" si="16"/>
        <v>2382.7541836799996</v>
      </c>
      <c r="O144" s="115"/>
      <c r="P144" s="122"/>
    </row>
    <row r="145" spans="1:16" s="18" customFormat="1" ht="15" customHeight="1" x14ac:dyDescent="0.25">
      <c r="A145" s="511" t="s">
        <v>313</v>
      </c>
      <c r="B145" s="511" t="s">
        <v>314</v>
      </c>
      <c r="C145" s="511" t="s">
        <v>78</v>
      </c>
      <c r="D145" s="512">
        <v>40798</v>
      </c>
      <c r="E145" s="513">
        <v>5000</v>
      </c>
      <c r="F145" s="514">
        <v>2.44</v>
      </c>
      <c r="G145" s="515">
        <f t="shared" si="23"/>
        <v>12200</v>
      </c>
      <c r="H145" s="522"/>
      <c r="I145" s="512">
        <v>40827</v>
      </c>
      <c r="J145" s="514">
        <v>2.65</v>
      </c>
      <c r="K145" s="518">
        <f t="shared" si="24"/>
        <v>13250</v>
      </c>
      <c r="L145" s="519">
        <f t="shared" si="25"/>
        <v>-1050</v>
      </c>
      <c r="M145" s="550">
        <v>0.99858999999999998</v>
      </c>
      <c r="N145" s="521">
        <f t="shared" si="16"/>
        <v>-1048.5194999999999</v>
      </c>
      <c r="O145" s="115"/>
      <c r="P145" s="122"/>
    </row>
    <row r="146" spans="1:16" s="18" customFormat="1" ht="15" customHeight="1" x14ac:dyDescent="0.25">
      <c r="A146" s="511" t="s">
        <v>315</v>
      </c>
      <c r="B146" s="511" t="s">
        <v>316</v>
      </c>
      <c r="C146" s="511" t="s">
        <v>78</v>
      </c>
      <c r="D146" s="512">
        <v>40671</v>
      </c>
      <c r="E146" s="513">
        <v>9134</v>
      </c>
      <c r="F146" s="514">
        <v>1.095</v>
      </c>
      <c r="G146" s="515">
        <f t="shared" si="23"/>
        <v>10001.73</v>
      </c>
      <c r="H146" s="522"/>
      <c r="I146" s="512">
        <v>40835</v>
      </c>
      <c r="J146" s="514">
        <v>0.95499999999999996</v>
      </c>
      <c r="K146" s="518">
        <f t="shared" si="24"/>
        <v>8722.9699999999993</v>
      </c>
      <c r="L146" s="508">
        <f t="shared" si="25"/>
        <v>1278.7600000000002</v>
      </c>
      <c r="M146" s="550">
        <v>1.0261400000000001</v>
      </c>
      <c r="N146" s="509">
        <f t="shared" si="16"/>
        <v>1312.1867864000003</v>
      </c>
      <c r="O146" s="115"/>
      <c r="P146" s="122"/>
    </row>
    <row r="147" spans="1:16" s="18" customFormat="1" ht="15" customHeight="1" x14ac:dyDescent="0.25">
      <c r="A147" s="511" t="s">
        <v>317</v>
      </c>
      <c r="B147" s="511" t="s">
        <v>318</v>
      </c>
      <c r="C147" s="511" t="s">
        <v>78</v>
      </c>
      <c r="D147" s="512">
        <v>40812</v>
      </c>
      <c r="E147" s="513">
        <v>9000</v>
      </c>
      <c r="F147" s="514">
        <v>0.17</v>
      </c>
      <c r="G147" s="515">
        <f t="shared" si="23"/>
        <v>1530</v>
      </c>
      <c r="H147" s="522"/>
      <c r="I147" s="512">
        <v>40837</v>
      </c>
      <c r="J147" s="514">
        <v>0.28100000000000003</v>
      </c>
      <c r="K147" s="518">
        <f t="shared" si="24"/>
        <v>2529.0000000000005</v>
      </c>
      <c r="L147" s="519">
        <f t="shared" si="25"/>
        <v>-999.00000000000045</v>
      </c>
      <c r="M147" s="550">
        <v>1.02291</v>
      </c>
      <c r="N147" s="521">
        <f t="shared" si="16"/>
        <v>-1021.8870900000004</v>
      </c>
      <c r="O147" s="115"/>
      <c r="P147" s="122"/>
    </row>
    <row r="148" spans="1:16" s="8" customFormat="1" ht="15" customHeight="1" x14ac:dyDescent="0.25">
      <c r="A148" s="500" t="s">
        <v>319</v>
      </c>
      <c r="B148" s="500" t="s">
        <v>320</v>
      </c>
      <c r="C148" s="500" t="s">
        <v>53</v>
      </c>
      <c r="D148" s="501">
        <v>40826</v>
      </c>
      <c r="E148" s="502">
        <v>1204</v>
      </c>
      <c r="F148" s="503">
        <v>8.75</v>
      </c>
      <c r="G148" s="504">
        <f t="shared" si="23"/>
        <v>10535</v>
      </c>
      <c r="H148" s="558"/>
      <c r="I148" s="501">
        <v>40842</v>
      </c>
      <c r="J148" s="503">
        <v>7.92</v>
      </c>
      <c r="K148" s="507">
        <f t="shared" ref="K148:K155" si="26">SUM(E148*J148)</f>
        <v>9535.68</v>
      </c>
      <c r="L148" s="508">
        <f>SUM(K148-G148)</f>
        <v>-999.31999999999971</v>
      </c>
      <c r="M148" s="549">
        <v>1.0427200000000001</v>
      </c>
      <c r="N148" s="509">
        <f t="shared" si="16"/>
        <v>-1042.0109503999997</v>
      </c>
      <c r="O148" s="115"/>
      <c r="P148" s="121"/>
    </row>
    <row r="149" spans="1:16" s="18" customFormat="1" ht="15" customHeight="1" x14ac:dyDescent="0.25">
      <c r="A149" s="511" t="s">
        <v>321</v>
      </c>
      <c r="B149" s="511" t="s">
        <v>322</v>
      </c>
      <c r="C149" s="511" t="s">
        <v>78</v>
      </c>
      <c r="D149" s="512">
        <v>40687</v>
      </c>
      <c r="E149" s="513">
        <v>594</v>
      </c>
      <c r="F149" s="514">
        <v>16.850000000000001</v>
      </c>
      <c r="G149" s="515">
        <f t="shared" si="23"/>
        <v>10008.900000000001</v>
      </c>
      <c r="H149" s="522"/>
      <c r="I149" s="501">
        <v>40842</v>
      </c>
      <c r="J149" s="514">
        <v>15.76</v>
      </c>
      <c r="K149" s="518">
        <f t="shared" si="26"/>
        <v>9361.44</v>
      </c>
      <c r="L149" s="508">
        <f>SUM(G149-K149)</f>
        <v>647.46000000000095</v>
      </c>
      <c r="M149" s="550">
        <v>1.0427200000000001</v>
      </c>
      <c r="N149" s="509">
        <f t="shared" si="16"/>
        <v>675.11949120000099</v>
      </c>
      <c r="O149" s="115"/>
      <c r="P149" s="122"/>
    </row>
    <row r="150" spans="1:16" s="18" customFormat="1" ht="15" customHeight="1" x14ac:dyDescent="0.25">
      <c r="A150" s="511" t="s">
        <v>323</v>
      </c>
      <c r="B150" s="511" t="s">
        <v>324</v>
      </c>
      <c r="C150" s="511" t="s">
        <v>78</v>
      </c>
      <c r="D150" s="512">
        <v>40646</v>
      </c>
      <c r="E150" s="513">
        <v>1547</v>
      </c>
      <c r="F150" s="514">
        <v>7.11</v>
      </c>
      <c r="G150" s="515">
        <f t="shared" si="23"/>
        <v>10999.17</v>
      </c>
      <c r="H150" s="522"/>
      <c r="I150" s="512">
        <v>40842</v>
      </c>
      <c r="J150" s="514">
        <v>4.13</v>
      </c>
      <c r="K150" s="518">
        <f t="shared" si="26"/>
        <v>6389.11</v>
      </c>
      <c r="L150" s="508">
        <f>SUM(G150-K150)</f>
        <v>4610.0600000000004</v>
      </c>
      <c r="M150" s="550">
        <v>1.0427200000000001</v>
      </c>
      <c r="N150" s="509">
        <f t="shared" si="16"/>
        <v>4807.0017632000008</v>
      </c>
      <c r="O150" s="115"/>
      <c r="P150" s="122"/>
    </row>
    <row r="151" spans="1:16" s="18" customFormat="1" ht="15" customHeight="1" x14ac:dyDescent="0.25">
      <c r="A151" s="511" t="s">
        <v>325</v>
      </c>
      <c r="B151" s="511" t="s">
        <v>326</v>
      </c>
      <c r="C151" s="511" t="s">
        <v>78</v>
      </c>
      <c r="D151" s="512">
        <v>40665</v>
      </c>
      <c r="E151" s="513">
        <v>5618</v>
      </c>
      <c r="F151" s="514">
        <v>2.67</v>
      </c>
      <c r="G151" s="515">
        <f t="shared" si="23"/>
        <v>15000.06</v>
      </c>
      <c r="H151" s="522"/>
      <c r="I151" s="512">
        <v>40858</v>
      </c>
      <c r="J151" s="514">
        <v>2.2090000000000001</v>
      </c>
      <c r="K151" s="518">
        <f t="shared" si="26"/>
        <v>12410.162</v>
      </c>
      <c r="L151" s="508">
        <f>SUM(G151-K151)</f>
        <v>2589.8979999999992</v>
      </c>
      <c r="M151" s="550">
        <v>1.0147699999999999</v>
      </c>
      <c r="N151" s="509">
        <f t="shared" si="16"/>
        <v>2628.150793459999</v>
      </c>
      <c r="O151" s="115"/>
      <c r="P151" s="122"/>
    </row>
    <row r="152" spans="1:16" s="18" customFormat="1" ht="15" customHeight="1" x14ac:dyDescent="0.25">
      <c r="A152" s="500" t="s">
        <v>327</v>
      </c>
      <c r="B152" s="500" t="s">
        <v>328</v>
      </c>
      <c r="C152" s="500" t="s">
        <v>53</v>
      </c>
      <c r="D152" s="501">
        <v>40844</v>
      </c>
      <c r="E152" s="502">
        <v>50000</v>
      </c>
      <c r="F152" s="503">
        <v>1.109</v>
      </c>
      <c r="G152" s="504">
        <f t="shared" si="23"/>
        <v>55450</v>
      </c>
      <c r="H152" s="558"/>
      <c r="I152" s="551">
        <v>40862</v>
      </c>
      <c r="J152" s="554">
        <v>1.1000000000000001</v>
      </c>
      <c r="K152" s="507">
        <f t="shared" si="26"/>
        <v>55000.000000000007</v>
      </c>
      <c r="L152" s="508">
        <f>SUM(K152-G152)</f>
        <v>-449.99999999999272</v>
      </c>
      <c r="M152" s="549">
        <v>1.0197499999999999</v>
      </c>
      <c r="N152" s="509">
        <f t="shared" si="16"/>
        <v>-458.88749999999254</v>
      </c>
      <c r="O152" s="115"/>
      <c r="P152" s="122"/>
    </row>
    <row r="153" spans="1:16" s="18" customFormat="1" ht="15" customHeight="1" x14ac:dyDescent="0.25">
      <c r="A153" s="511" t="s">
        <v>329</v>
      </c>
      <c r="B153" s="511" t="s">
        <v>330</v>
      </c>
      <c r="C153" s="511" t="s">
        <v>78</v>
      </c>
      <c r="D153" s="512">
        <v>40700</v>
      </c>
      <c r="E153" s="513">
        <v>4975</v>
      </c>
      <c r="F153" s="514">
        <v>2.0099999999999998</v>
      </c>
      <c r="G153" s="515">
        <f t="shared" si="23"/>
        <v>9999.7499999999982</v>
      </c>
      <c r="H153" s="522"/>
      <c r="I153" s="512">
        <v>40863</v>
      </c>
      <c r="J153" s="514">
        <v>1.7050000000000001</v>
      </c>
      <c r="K153" s="518">
        <f t="shared" si="26"/>
        <v>8482.375</v>
      </c>
      <c r="L153" s="508">
        <f>SUM(G153-K153)</f>
        <v>1517.3749999999982</v>
      </c>
      <c r="M153" s="550">
        <v>1.01766</v>
      </c>
      <c r="N153" s="509">
        <f t="shared" si="16"/>
        <v>1544.1718424999981</v>
      </c>
      <c r="O153" s="115"/>
      <c r="P153" s="122"/>
    </row>
    <row r="154" spans="1:16" s="18" customFormat="1" ht="15" customHeight="1" x14ac:dyDescent="0.25">
      <c r="A154" s="500" t="s">
        <v>331</v>
      </c>
      <c r="B154" s="500" t="s">
        <v>162</v>
      </c>
      <c r="C154" s="500" t="s">
        <v>53</v>
      </c>
      <c r="D154" s="501">
        <v>40798</v>
      </c>
      <c r="E154" s="502">
        <v>8300</v>
      </c>
      <c r="F154" s="503">
        <v>3.53</v>
      </c>
      <c r="G154" s="504">
        <f t="shared" si="23"/>
        <v>29299</v>
      </c>
      <c r="H154" s="558"/>
      <c r="I154" s="551">
        <v>40865</v>
      </c>
      <c r="J154" s="554">
        <v>3.41</v>
      </c>
      <c r="K154" s="507">
        <f t="shared" si="26"/>
        <v>28303</v>
      </c>
      <c r="L154" s="508">
        <f>SUM(K154-G154)</f>
        <v>-996</v>
      </c>
      <c r="M154" s="549">
        <v>0.99973999999999996</v>
      </c>
      <c r="N154" s="509">
        <f t="shared" si="16"/>
        <v>-995.74104</v>
      </c>
      <c r="O154" s="115"/>
      <c r="P154" s="122"/>
    </row>
    <row r="155" spans="1:16" s="18" customFormat="1" ht="15" customHeight="1" x14ac:dyDescent="0.25">
      <c r="A155" s="511" t="s">
        <v>332</v>
      </c>
      <c r="B155" s="511" t="s">
        <v>333</v>
      </c>
      <c r="C155" s="511" t="s">
        <v>78</v>
      </c>
      <c r="D155" s="512">
        <v>40714</v>
      </c>
      <c r="E155" s="513">
        <v>3690</v>
      </c>
      <c r="F155" s="514">
        <v>2.71</v>
      </c>
      <c r="G155" s="515">
        <f t="shared" si="23"/>
        <v>9999.9</v>
      </c>
      <c r="H155" s="522"/>
      <c r="I155" s="512">
        <v>40865</v>
      </c>
      <c r="J155" s="514">
        <v>2.488</v>
      </c>
      <c r="K155" s="518">
        <f t="shared" si="26"/>
        <v>9180.7199999999993</v>
      </c>
      <c r="L155" s="508">
        <f>SUM(G155-K155)</f>
        <v>819.18000000000029</v>
      </c>
      <c r="M155" s="550">
        <v>0.99973999999999996</v>
      </c>
      <c r="N155" s="509">
        <f t="shared" si="16"/>
        <v>818.96701320000022</v>
      </c>
      <c r="O155" s="115"/>
      <c r="P155" s="122"/>
    </row>
    <row r="156" spans="1:16" s="18" customFormat="1" ht="15" customHeight="1" x14ac:dyDescent="0.25">
      <c r="A156" s="500" t="s">
        <v>334</v>
      </c>
      <c r="B156" s="500" t="s">
        <v>335</v>
      </c>
      <c r="C156" s="500" t="s">
        <v>53</v>
      </c>
      <c r="D156" s="501">
        <v>40856</v>
      </c>
      <c r="E156" s="502">
        <v>16600</v>
      </c>
      <c r="F156" s="503">
        <v>0.82299999999999995</v>
      </c>
      <c r="G156" s="504">
        <f t="shared" si="23"/>
        <v>13661.8</v>
      </c>
      <c r="H156" s="558"/>
      <c r="I156" s="551">
        <v>40868</v>
      </c>
      <c r="J156" s="554">
        <v>0.79900000000000004</v>
      </c>
      <c r="K156" s="507">
        <f t="shared" ref="K156:K162" si="27">SUM(E156*J156)</f>
        <v>13263.400000000001</v>
      </c>
      <c r="L156" s="508">
        <f t="shared" ref="L156:L162" si="28">SUM(K156-G156)</f>
        <v>-398.39999999999782</v>
      </c>
      <c r="M156" s="549">
        <v>0.99992999999999999</v>
      </c>
      <c r="N156" s="509">
        <f t="shared" si="16"/>
        <v>-398.3721119999978</v>
      </c>
      <c r="O156" s="115"/>
      <c r="P156" s="122"/>
    </row>
    <row r="157" spans="1:16" s="18" customFormat="1" ht="15" customHeight="1" x14ac:dyDescent="0.25">
      <c r="A157" s="500" t="s">
        <v>336</v>
      </c>
      <c r="B157" s="500" t="s">
        <v>337</v>
      </c>
      <c r="C157" s="500" t="s">
        <v>53</v>
      </c>
      <c r="D157" s="501">
        <v>40798</v>
      </c>
      <c r="E157" s="502">
        <v>20000</v>
      </c>
      <c r="F157" s="503">
        <v>0.73499999999999999</v>
      </c>
      <c r="G157" s="504">
        <f t="shared" si="23"/>
        <v>14700</v>
      </c>
      <c r="H157" s="558"/>
      <c r="I157" s="551">
        <v>40875</v>
      </c>
      <c r="J157" s="554">
        <v>0.84</v>
      </c>
      <c r="K157" s="507">
        <f t="shared" si="27"/>
        <v>16800</v>
      </c>
      <c r="L157" s="508">
        <f t="shared" si="28"/>
        <v>2100</v>
      </c>
      <c r="M157" s="549">
        <v>0.98133000000000004</v>
      </c>
      <c r="N157" s="509">
        <f t="shared" si="16"/>
        <v>2060.7930000000001</v>
      </c>
      <c r="O157" s="115"/>
      <c r="P157" s="122"/>
    </row>
    <row r="158" spans="1:16" s="18" customFormat="1" ht="15" customHeight="1" x14ac:dyDescent="0.25">
      <c r="A158" s="500" t="s">
        <v>338</v>
      </c>
      <c r="B158" s="500" t="s">
        <v>339</v>
      </c>
      <c r="C158" s="500" t="s">
        <v>53</v>
      </c>
      <c r="D158" s="501">
        <v>40854</v>
      </c>
      <c r="E158" s="502">
        <v>17241</v>
      </c>
      <c r="F158" s="503">
        <v>0.82899999999999996</v>
      </c>
      <c r="G158" s="504">
        <f t="shared" si="23"/>
        <v>14292.788999999999</v>
      </c>
      <c r="H158" s="558"/>
      <c r="I158" s="551">
        <v>40891</v>
      </c>
      <c r="J158" s="554">
        <v>0.83</v>
      </c>
      <c r="K158" s="507">
        <f t="shared" si="27"/>
        <v>14310.029999999999</v>
      </c>
      <c r="L158" s="508">
        <f t="shared" si="28"/>
        <v>17.240999999999985</v>
      </c>
      <c r="M158" s="549">
        <v>1.0015700000000001</v>
      </c>
      <c r="N158" s="509">
        <f t="shared" si="16"/>
        <v>17.268068369999988</v>
      </c>
      <c r="O158" s="115"/>
      <c r="P158" s="122"/>
    </row>
    <row r="159" spans="1:16" s="18" customFormat="1" ht="15" customHeight="1" x14ac:dyDescent="0.25">
      <c r="A159" s="500" t="s">
        <v>220</v>
      </c>
      <c r="B159" s="500" t="s">
        <v>221</v>
      </c>
      <c r="C159" s="500" t="s">
        <v>53</v>
      </c>
      <c r="D159" s="501">
        <v>40869</v>
      </c>
      <c r="E159" s="502">
        <v>7576</v>
      </c>
      <c r="F159" s="503">
        <v>4.4960000000000004</v>
      </c>
      <c r="G159" s="504">
        <f t="shared" si="23"/>
        <v>34061.696000000004</v>
      </c>
      <c r="H159" s="558"/>
      <c r="I159" s="551">
        <v>40891</v>
      </c>
      <c r="J159" s="554">
        <v>4.4710000000000001</v>
      </c>
      <c r="K159" s="507">
        <f t="shared" si="27"/>
        <v>33872.296000000002</v>
      </c>
      <c r="L159" s="508">
        <f t="shared" si="28"/>
        <v>-189.40000000000146</v>
      </c>
      <c r="M159" s="549">
        <v>1.0015700000000001</v>
      </c>
      <c r="N159" s="509">
        <f t="shared" si="16"/>
        <v>-189.69735800000146</v>
      </c>
      <c r="O159" s="115"/>
      <c r="P159" s="122"/>
    </row>
    <row r="160" spans="1:16" s="18" customFormat="1" ht="15" customHeight="1" x14ac:dyDescent="0.25">
      <c r="A160" s="500" t="s">
        <v>340</v>
      </c>
      <c r="B160" s="500" t="s">
        <v>341</v>
      </c>
      <c r="C160" s="500" t="s">
        <v>53</v>
      </c>
      <c r="D160" s="501">
        <v>40864</v>
      </c>
      <c r="E160" s="502">
        <v>15151</v>
      </c>
      <c r="F160" s="503">
        <v>0.58799999999999997</v>
      </c>
      <c r="G160" s="504">
        <f t="shared" si="23"/>
        <v>8908.7879999999986</v>
      </c>
      <c r="H160" s="558"/>
      <c r="I160" s="551">
        <v>40892</v>
      </c>
      <c r="J160" s="554">
        <v>0.54500000000000004</v>
      </c>
      <c r="K160" s="507">
        <f t="shared" si="27"/>
        <v>8257.2950000000001</v>
      </c>
      <c r="L160" s="508">
        <f t="shared" si="28"/>
        <v>-651.49299999999857</v>
      </c>
      <c r="M160" s="549">
        <v>0.99090999999999996</v>
      </c>
      <c r="N160" s="509">
        <f t="shared" si="16"/>
        <v>-645.57092862999855</v>
      </c>
      <c r="O160" s="115"/>
      <c r="P160" s="122"/>
    </row>
    <row r="161" spans="1:16" s="18" customFormat="1" ht="15" customHeight="1" x14ac:dyDescent="0.25">
      <c r="A161" s="500" t="s">
        <v>248</v>
      </c>
      <c r="B161" s="500" t="s">
        <v>249</v>
      </c>
      <c r="C161" s="500" t="s">
        <v>53</v>
      </c>
      <c r="D161" s="501">
        <v>40865</v>
      </c>
      <c r="E161" s="502">
        <v>9090</v>
      </c>
      <c r="F161" s="503">
        <v>1.325</v>
      </c>
      <c r="G161" s="504">
        <f t="shared" si="23"/>
        <v>12044.25</v>
      </c>
      <c r="H161" s="558"/>
      <c r="I161" s="551">
        <v>40896</v>
      </c>
      <c r="J161" s="554">
        <v>1.3089999999999999</v>
      </c>
      <c r="K161" s="507">
        <f t="shared" si="27"/>
        <v>11898.81</v>
      </c>
      <c r="L161" s="508">
        <f t="shared" si="28"/>
        <v>-145.44000000000051</v>
      </c>
      <c r="M161" s="549">
        <v>0.99868999999999997</v>
      </c>
      <c r="N161" s="509">
        <f t="shared" si="16"/>
        <v>-145.2494736000005</v>
      </c>
      <c r="O161" s="115"/>
      <c r="P161" s="122"/>
    </row>
    <row r="162" spans="1:16" s="18" customFormat="1" ht="15" customHeight="1" x14ac:dyDescent="0.25">
      <c r="A162" s="500" t="s">
        <v>342</v>
      </c>
      <c r="B162" s="500" t="s">
        <v>343</v>
      </c>
      <c r="C162" s="500" t="s">
        <v>53</v>
      </c>
      <c r="D162" s="501">
        <v>40893</v>
      </c>
      <c r="E162" s="502">
        <v>7142</v>
      </c>
      <c r="F162" s="503">
        <v>2.31</v>
      </c>
      <c r="G162" s="504">
        <f t="shared" si="23"/>
        <v>16498.02</v>
      </c>
      <c r="H162" s="558"/>
      <c r="I162" s="551">
        <v>40896</v>
      </c>
      <c r="J162" s="554">
        <v>2.2400000000000002</v>
      </c>
      <c r="K162" s="507">
        <f t="shared" si="27"/>
        <v>15998.080000000002</v>
      </c>
      <c r="L162" s="508">
        <f t="shared" si="28"/>
        <v>-499.93999999999869</v>
      </c>
      <c r="M162" s="549">
        <v>0.99868999999999997</v>
      </c>
      <c r="N162" s="509">
        <f t="shared" si="16"/>
        <v>-499.28507859999866</v>
      </c>
      <c r="O162" s="115"/>
      <c r="P162" s="122"/>
    </row>
    <row r="163" spans="1:16" s="18" customFormat="1" ht="15" customHeight="1" x14ac:dyDescent="0.25">
      <c r="A163" s="511" t="s">
        <v>246</v>
      </c>
      <c r="B163" s="511" t="s">
        <v>247</v>
      </c>
      <c r="C163" s="511" t="s">
        <v>78</v>
      </c>
      <c r="D163" s="512" t="s">
        <v>393</v>
      </c>
      <c r="E163" s="513">
        <v>8928</v>
      </c>
      <c r="F163" s="514">
        <v>0.70399999999999996</v>
      </c>
      <c r="G163" s="515">
        <f t="shared" si="23"/>
        <v>6285.3119999999999</v>
      </c>
      <c r="H163" s="522"/>
      <c r="I163" s="512">
        <v>40912</v>
      </c>
      <c r="J163" s="514">
        <v>0.77500000000000002</v>
      </c>
      <c r="K163" s="518">
        <f t="shared" ref="K163:K168" si="29">SUM(E163*J163)</f>
        <v>6919.2</v>
      </c>
      <c r="L163" s="519">
        <f t="shared" ref="L163:L173" si="30">SUM(G163-K163)</f>
        <v>-633.88799999999992</v>
      </c>
      <c r="M163" s="550">
        <v>1.03749</v>
      </c>
      <c r="N163" s="521">
        <f t="shared" ref="N163:N226" si="31">SUM(L163*M163)</f>
        <v>-657.65246111999988</v>
      </c>
      <c r="O163" s="115"/>
      <c r="P163" s="122"/>
    </row>
    <row r="164" spans="1:16" s="18" customFormat="1" ht="15" customHeight="1" x14ac:dyDescent="0.25">
      <c r="A164" s="511" t="s">
        <v>344</v>
      </c>
      <c r="B164" s="511" t="s">
        <v>345</v>
      </c>
      <c r="C164" s="511" t="s">
        <v>78</v>
      </c>
      <c r="D164" s="512">
        <v>40666</v>
      </c>
      <c r="E164" s="513">
        <v>4658</v>
      </c>
      <c r="F164" s="514">
        <v>3.22</v>
      </c>
      <c r="G164" s="515">
        <f t="shared" si="23"/>
        <v>14998.76</v>
      </c>
      <c r="H164" s="522"/>
      <c r="I164" s="512">
        <v>40920</v>
      </c>
      <c r="J164" s="514">
        <v>1.5149999999999999</v>
      </c>
      <c r="K164" s="518">
        <f t="shared" si="29"/>
        <v>7056.87</v>
      </c>
      <c r="L164" s="508">
        <f t="shared" si="30"/>
        <v>7941.89</v>
      </c>
      <c r="M164" s="550">
        <v>1.03095</v>
      </c>
      <c r="N164" s="509">
        <f t="shared" si="31"/>
        <v>8187.6914955000002</v>
      </c>
      <c r="O164" s="115"/>
      <c r="P164" s="122"/>
    </row>
    <row r="165" spans="1:16" s="18" customFormat="1" ht="15" customHeight="1" x14ac:dyDescent="0.25">
      <c r="A165" s="511" t="s">
        <v>346</v>
      </c>
      <c r="B165" s="511" t="s">
        <v>347</v>
      </c>
      <c r="C165" s="511" t="s">
        <v>78</v>
      </c>
      <c r="D165" s="512">
        <v>40652</v>
      </c>
      <c r="E165" s="513">
        <v>9561</v>
      </c>
      <c r="F165" s="514">
        <v>1.2549999999999999</v>
      </c>
      <c r="G165" s="515">
        <f t="shared" si="23"/>
        <v>11999.054999999998</v>
      </c>
      <c r="H165" s="522"/>
      <c r="I165" s="512">
        <v>40920</v>
      </c>
      <c r="J165" s="514">
        <v>0.73</v>
      </c>
      <c r="K165" s="518">
        <f t="shared" si="29"/>
        <v>6979.53</v>
      </c>
      <c r="L165" s="508">
        <f t="shared" si="30"/>
        <v>5019.5249999999987</v>
      </c>
      <c r="M165" s="550">
        <v>1.03095</v>
      </c>
      <c r="N165" s="509">
        <f t="shared" si="31"/>
        <v>5174.8792987499992</v>
      </c>
      <c r="O165" s="115"/>
      <c r="P165" s="122"/>
    </row>
    <row r="166" spans="1:16" s="18" customFormat="1" ht="15" customHeight="1" x14ac:dyDescent="0.25">
      <c r="A166" s="511" t="s">
        <v>348</v>
      </c>
      <c r="B166" s="511" t="s">
        <v>349</v>
      </c>
      <c r="C166" s="511" t="s">
        <v>78</v>
      </c>
      <c r="D166" s="512">
        <v>40905</v>
      </c>
      <c r="E166" s="513">
        <v>4587</v>
      </c>
      <c r="F166" s="514">
        <v>1.141</v>
      </c>
      <c r="G166" s="515">
        <f t="shared" si="23"/>
        <v>5233.7669999999998</v>
      </c>
      <c r="H166" s="522"/>
      <c r="I166" s="512">
        <v>40920</v>
      </c>
      <c r="J166" s="514">
        <v>1.335</v>
      </c>
      <c r="K166" s="518">
        <f t="shared" si="29"/>
        <v>6123.6449999999995</v>
      </c>
      <c r="L166" s="519">
        <f t="shared" si="30"/>
        <v>-889.8779999999997</v>
      </c>
      <c r="M166" s="550">
        <v>1.03095</v>
      </c>
      <c r="N166" s="521">
        <f t="shared" si="31"/>
        <v>-917.41972409999971</v>
      </c>
      <c r="O166" s="115"/>
      <c r="P166" s="122"/>
    </row>
    <row r="167" spans="1:16" s="18" customFormat="1" ht="15" customHeight="1" x14ac:dyDescent="0.25">
      <c r="A167" s="511" t="s">
        <v>350</v>
      </c>
      <c r="B167" s="511" t="s">
        <v>351</v>
      </c>
      <c r="C167" s="511" t="s">
        <v>78</v>
      </c>
      <c r="D167" s="512">
        <v>40871</v>
      </c>
      <c r="E167" s="513">
        <v>2667</v>
      </c>
      <c r="F167" s="514">
        <v>2.875</v>
      </c>
      <c r="G167" s="515">
        <f t="shared" si="23"/>
        <v>7667.625</v>
      </c>
      <c r="H167" s="522"/>
      <c r="I167" s="512">
        <v>40920</v>
      </c>
      <c r="J167" s="514">
        <v>3.141</v>
      </c>
      <c r="K167" s="518">
        <f t="shared" si="29"/>
        <v>8377.0470000000005</v>
      </c>
      <c r="L167" s="519">
        <f t="shared" si="30"/>
        <v>-709.42200000000048</v>
      </c>
      <c r="M167" s="550">
        <v>1.03095</v>
      </c>
      <c r="N167" s="521">
        <f t="shared" si="31"/>
        <v>-731.37861090000047</v>
      </c>
      <c r="O167" s="115"/>
      <c r="P167" s="122"/>
    </row>
    <row r="168" spans="1:16" s="18" customFormat="1" ht="15" customHeight="1" x14ac:dyDescent="0.25">
      <c r="A168" s="511" t="s">
        <v>325</v>
      </c>
      <c r="B168" s="511" t="s">
        <v>326</v>
      </c>
      <c r="C168" s="511" t="s">
        <v>78</v>
      </c>
      <c r="D168" s="512">
        <v>40871</v>
      </c>
      <c r="E168" s="513">
        <v>4000</v>
      </c>
      <c r="F168" s="514">
        <v>1.85</v>
      </c>
      <c r="G168" s="515">
        <f t="shared" si="23"/>
        <v>7400</v>
      </c>
      <c r="H168" s="522"/>
      <c r="I168" s="512">
        <v>40924</v>
      </c>
      <c r="J168" s="514">
        <v>1.994</v>
      </c>
      <c r="K168" s="518">
        <f t="shared" si="29"/>
        <v>7976</v>
      </c>
      <c r="L168" s="519">
        <f t="shared" si="30"/>
        <v>-576</v>
      </c>
      <c r="M168" s="550">
        <v>1.02912</v>
      </c>
      <c r="N168" s="521">
        <f t="shared" si="31"/>
        <v>-592.77312000000006</v>
      </c>
      <c r="O168" s="115"/>
      <c r="P168" s="122"/>
    </row>
    <row r="169" spans="1:16" s="18" customFormat="1" ht="15" customHeight="1" x14ac:dyDescent="0.25">
      <c r="A169" s="511" t="s">
        <v>352</v>
      </c>
      <c r="B169" s="511" t="s">
        <v>219</v>
      </c>
      <c r="C169" s="511" t="s">
        <v>78</v>
      </c>
      <c r="D169" s="512">
        <v>40868</v>
      </c>
      <c r="E169" s="513">
        <v>5000</v>
      </c>
      <c r="F169" s="514">
        <v>2.145</v>
      </c>
      <c r="G169" s="515">
        <f t="shared" si="23"/>
        <v>10725</v>
      </c>
      <c r="H169" s="522"/>
      <c r="I169" s="512">
        <v>40932</v>
      </c>
      <c r="J169" s="514">
        <v>2.1230000000000002</v>
      </c>
      <c r="K169" s="518">
        <f t="shared" ref="K169:K178" si="32">SUM(E169*J169)</f>
        <v>10615.000000000002</v>
      </c>
      <c r="L169" s="519">
        <f t="shared" si="30"/>
        <v>109.99999999999818</v>
      </c>
      <c r="M169" s="550">
        <v>1.0523</v>
      </c>
      <c r="N169" s="509">
        <f t="shared" si="31"/>
        <v>115.75299999999808</v>
      </c>
      <c r="O169" s="115"/>
      <c r="P169" s="122"/>
    </row>
    <row r="170" spans="1:16" s="18" customFormat="1" ht="15" customHeight="1" x14ac:dyDescent="0.25">
      <c r="A170" s="511" t="s">
        <v>254</v>
      </c>
      <c r="B170" s="511" t="s">
        <v>255</v>
      </c>
      <c r="C170" s="511" t="s">
        <v>78</v>
      </c>
      <c r="D170" s="512">
        <v>40871</v>
      </c>
      <c r="E170" s="513">
        <v>8475</v>
      </c>
      <c r="F170" s="514">
        <v>1.056</v>
      </c>
      <c r="G170" s="515">
        <f t="shared" ref="G170:G201" si="33">SUM(E170*F170)</f>
        <v>8949.6</v>
      </c>
      <c r="H170" s="522"/>
      <c r="I170" s="512">
        <v>40935</v>
      </c>
      <c r="J170" s="514">
        <v>1.1100000000000001</v>
      </c>
      <c r="K170" s="518">
        <f t="shared" si="32"/>
        <v>9407.25</v>
      </c>
      <c r="L170" s="519">
        <f t="shared" si="30"/>
        <v>-457.64999999999964</v>
      </c>
      <c r="M170" s="550">
        <v>1.0628899999999999</v>
      </c>
      <c r="N170" s="521">
        <f t="shared" si="31"/>
        <v>-486.43160849999958</v>
      </c>
      <c r="O170" s="115"/>
      <c r="P170" s="122"/>
    </row>
    <row r="171" spans="1:16" s="18" customFormat="1" ht="15" customHeight="1" x14ac:dyDescent="0.25">
      <c r="A171" s="511" t="s">
        <v>353</v>
      </c>
      <c r="B171" s="511" t="s">
        <v>354</v>
      </c>
      <c r="C171" s="511" t="s">
        <v>78</v>
      </c>
      <c r="D171" s="512">
        <v>40897</v>
      </c>
      <c r="E171" s="513">
        <v>246</v>
      </c>
      <c r="F171" s="514">
        <v>30.45</v>
      </c>
      <c r="G171" s="515">
        <f t="shared" si="33"/>
        <v>7490.7</v>
      </c>
      <c r="H171" s="522"/>
      <c r="I171" s="512">
        <v>40935</v>
      </c>
      <c r="J171" s="514">
        <v>34.200000000000003</v>
      </c>
      <c r="K171" s="518">
        <f t="shared" si="32"/>
        <v>8413.2000000000007</v>
      </c>
      <c r="L171" s="519">
        <f t="shared" si="30"/>
        <v>-922.50000000000091</v>
      </c>
      <c r="M171" s="550">
        <v>1.0628899999999999</v>
      </c>
      <c r="N171" s="521">
        <f t="shared" si="31"/>
        <v>-980.51602500000081</v>
      </c>
      <c r="O171" s="115"/>
      <c r="P171" s="122"/>
    </row>
    <row r="172" spans="1:16" s="18" customFormat="1" ht="15" customHeight="1" x14ac:dyDescent="0.25">
      <c r="A172" s="511" t="s">
        <v>311</v>
      </c>
      <c r="B172" s="511" t="s">
        <v>312</v>
      </c>
      <c r="C172" s="511" t="s">
        <v>78</v>
      </c>
      <c r="D172" s="512">
        <v>40905</v>
      </c>
      <c r="E172" s="513">
        <v>1894</v>
      </c>
      <c r="F172" s="514">
        <v>2.3159999999999998</v>
      </c>
      <c r="G172" s="515">
        <f>SUM(E172*F172)</f>
        <v>4386.5039999999999</v>
      </c>
      <c r="H172" s="522"/>
      <c r="I172" s="512">
        <v>40939</v>
      </c>
      <c r="J172" s="514">
        <v>2.4889999999999999</v>
      </c>
      <c r="K172" s="518">
        <f>SUM(E172*J172)</f>
        <v>4714.1660000000002</v>
      </c>
      <c r="L172" s="519">
        <f>SUM(G172-K172)</f>
        <v>-327.66200000000026</v>
      </c>
      <c r="M172" s="550">
        <v>1.05966</v>
      </c>
      <c r="N172" s="521">
        <f>SUM(L172*M172)</f>
        <v>-347.21031492000031</v>
      </c>
      <c r="O172" s="115"/>
      <c r="P172" s="122"/>
    </row>
    <row r="173" spans="1:16" s="18" customFormat="1" ht="15" customHeight="1" x14ac:dyDescent="0.25">
      <c r="A173" s="511" t="s">
        <v>355</v>
      </c>
      <c r="B173" s="511" t="s">
        <v>356</v>
      </c>
      <c r="C173" s="511" t="s">
        <v>78</v>
      </c>
      <c r="D173" s="512">
        <v>40679</v>
      </c>
      <c r="E173" s="513">
        <v>15075</v>
      </c>
      <c r="F173" s="514">
        <v>0.99</v>
      </c>
      <c r="G173" s="515">
        <f t="shared" si="33"/>
        <v>14924.25</v>
      </c>
      <c r="H173" s="522"/>
      <c r="I173" s="512">
        <v>40940</v>
      </c>
      <c r="J173" s="514">
        <v>0.47199999999999998</v>
      </c>
      <c r="K173" s="518">
        <f t="shared" si="32"/>
        <v>7115.4</v>
      </c>
      <c r="L173" s="508">
        <f t="shared" si="30"/>
        <v>7808.85</v>
      </c>
      <c r="M173" s="550">
        <v>1.0619700000000001</v>
      </c>
      <c r="N173" s="509">
        <f t="shared" si="31"/>
        <v>8292.7644345000008</v>
      </c>
      <c r="O173" s="115"/>
      <c r="P173" s="122"/>
    </row>
    <row r="174" spans="1:16" s="8" customFormat="1" ht="15" customHeight="1" x14ac:dyDescent="0.25">
      <c r="A174" s="552" t="s">
        <v>394</v>
      </c>
      <c r="B174" s="552" t="s">
        <v>395</v>
      </c>
      <c r="C174" s="552" t="s">
        <v>53</v>
      </c>
      <c r="D174" s="551">
        <v>40905</v>
      </c>
      <c r="E174" s="553">
        <v>1894</v>
      </c>
      <c r="F174" s="554">
        <v>18.66</v>
      </c>
      <c r="G174" s="504">
        <f t="shared" si="33"/>
        <v>35342.04</v>
      </c>
      <c r="H174" s="558"/>
      <c r="I174" s="551">
        <v>40941</v>
      </c>
      <c r="J174" s="554">
        <v>18.260000000000002</v>
      </c>
      <c r="K174" s="507">
        <f>SUM(E174*J174)</f>
        <v>34584.44</v>
      </c>
      <c r="L174" s="508">
        <f>SUM(K174-G174)</f>
        <v>-757.59999999999854</v>
      </c>
      <c r="M174" s="549">
        <v>1.07039</v>
      </c>
      <c r="N174" s="509">
        <f t="shared" si="31"/>
        <v>-810.92746399999839</v>
      </c>
      <c r="O174" s="116"/>
      <c r="P174" s="121"/>
    </row>
    <row r="175" spans="1:16" s="18" customFormat="1" ht="15.75" x14ac:dyDescent="0.25">
      <c r="A175" s="511" t="s">
        <v>357</v>
      </c>
      <c r="B175" s="511" t="s">
        <v>358</v>
      </c>
      <c r="C175" s="511" t="s">
        <v>78</v>
      </c>
      <c r="D175" s="512">
        <v>40671</v>
      </c>
      <c r="E175" s="513">
        <v>7017</v>
      </c>
      <c r="F175" s="514">
        <v>1.425</v>
      </c>
      <c r="G175" s="515">
        <f t="shared" si="33"/>
        <v>9999.2250000000004</v>
      </c>
      <c r="H175" s="522"/>
      <c r="I175" s="512">
        <v>40945</v>
      </c>
      <c r="J175" s="514">
        <v>0.79</v>
      </c>
      <c r="K175" s="518">
        <f t="shared" si="32"/>
        <v>5543.43</v>
      </c>
      <c r="L175" s="508">
        <f>SUM(G175-K175)</f>
        <v>4455.7950000000001</v>
      </c>
      <c r="M175" s="550">
        <v>1.07572</v>
      </c>
      <c r="N175" s="509">
        <f t="shared" si="31"/>
        <v>4793.1877973999999</v>
      </c>
      <c r="O175" s="115"/>
      <c r="P175" s="122"/>
    </row>
    <row r="176" spans="1:16" s="18" customFormat="1" ht="15" customHeight="1" x14ac:dyDescent="0.25">
      <c r="A176" s="511" t="s">
        <v>365</v>
      </c>
      <c r="B176" s="511" t="s">
        <v>366</v>
      </c>
      <c r="C176" s="511" t="s">
        <v>78</v>
      </c>
      <c r="D176" s="512">
        <v>40871</v>
      </c>
      <c r="E176" s="513">
        <v>11764</v>
      </c>
      <c r="F176" s="514">
        <v>1.3</v>
      </c>
      <c r="G176" s="515">
        <f t="shared" si="33"/>
        <v>15293.2</v>
      </c>
      <c r="H176" s="522"/>
      <c r="I176" s="512">
        <v>40960</v>
      </c>
      <c r="J176" s="514">
        <v>1.3</v>
      </c>
      <c r="K176" s="518">
        <f t="shared" si="32"/>
        <v>15293.2</v>
      </c>
      <c r="L176" s="508">
        <f>SUM(G176-K176)</f>
        <v>0</v>
      </c>
      <c r="M176" s="550">
        <v>1.0754699999999999</v>
      </c>
      <c r="N176" s="509">
        <f t="shared" si="31"/>
        <v>0</v>
      </c>
      <c r="O176" s="115"/>
      <c r="P176" s="122"/>
    </row>
    <row r="177" spans="1:16" s="8" customFormat="1" ht="15" customHeight="1" x14ac:dyDescent="0.25">
      <c r="A177" s="552" t="s">
        <v>137</v>
      </c>
      <c r="B177" s="552" t="s">
        <v>203</v>
      </c>
      <c r="C177" s="552" t="s">
        <v>53</v>
      </c>
      <c r="D177" s="551">
        <v>40961</v>
      </c>
      <c r="E177" s="553">
        <v>5000</v>
      </c>
      <c r="F177" s="554">
        <v>2.5</v>
      </c>
      <c r="G177" s="504">
        <f t="shared" si="33"/>
        <v>12500</v>
      </c>
      <c r="H177" s="558"/>
      <c r="I177" s="551">
        <v>40963</v>
      </c>
      <c r="J177" s="554">
        <v>2.456</v>
      </c>
      <c r="K177" s="507">
        <f>SUM(E177*J177)</f>
        <v>12280</v>
      </c>
      <c r="L177" s="508">
        <f>SUM(G177-K177)</f>
        <v>220</v>
      </c>
      <c r="M177" s="549">
        <v>1.0715699999999999</v>
      </c>
      <c r="N177" s="509">
        <f t="shared" si="31"/>
        <v>235.74539999999999</v>
      </c>
      <c r="O177" s="116"/>
      <c r="P177" s="121"/>
    </row>
    <row r="178" spans="1:16" s="18" customFormat="1" ht="15" customHeight="1" x14ac:dyDescent="0.25">
      <c r="A178" s="511" t="s">
        <v>235</v>
      </c>
      <c r="B178" s="511" t="s">
        <v>236</v>
      </c>
      <c r="C178" s="511" t="s">
        <v>78</v>
      </c>
      <c r="D178" s="512">
        <v>40871</v>
      </c>
      <c r="E178" s="513">
        <v>5000</v>
      </c>
      <c r="F178" s="514">
        <v>1.22</v>
      </c>
      <c r="G178" s="515">
        <f t="shared" si="33"/>
        <v>6100</v>
      </c>
      <c r="H178" s="522"/>
      <c r="I178" s="512">
        <v>40967</v>
      </c>
      <c r="J178" s="514">
        <v>1.24</v>
      </c>
      <c r="K178" s="518">
        <f t="shared" si="32"/>
        <v>6200</v>
      </c>
      <c r="L178" s="519">
        <f>SUM(G178-K178)</f>
        <v>-100</v>
      </c>
      <c r="M178" s="550">
        <v>1.07572</v>
      </c>
      <c r="N178" s="521">
        <f t="shared" si="31"/>
        <v>-107.572</v>
      </c>
      <c r="O178" s="115"/>
      <c r="P178" s="122"/>
    </row>
    <row r="179" spans="1:16" s="8" customFormat="1" ht="15" customHeight="1" x14ac:dyDescent="0.25">
      <c r="A179" s="552" t="s">
        <v>396</v>
      </c>
      <c r="B179" s="552" t="s">
        <v>397</v>
      </c>
      <c r="C179" s="552" t="s">
        <v>53</v>
      </c>
      <c r="D179" s="551">
        <v>40967</v>
      </c>
      <c r="E179" s="553">
        <v>2083</v>
      </c>
      <c r="F179" s="554">
        <v>13.22</v>
      </c>
      <c r="G179" s="504">
        <f t="shared" si="33"/>
        <v>27537.260000000002</v>
      </c>
      <c r="H179" s="558"/>
      <c r="I179" s="551">
        <v>40976</v>
      </c>
      <c r="J179" s="554">
        <v>12.5</v>
      </c>
      <c r="K179" s="507">
        <f t="shared" ref="K179:K186" si="34">SUM(E179*J179)</f>
        <v>26037.5</v>
      </c>
      <c r="L179" s="508">
        <f t="shared" ref="L179:L184" si="35">SUM(K179-G179)</f>
        <v>-1499.760000000002</v>
      </c>
      <c r="M179" s="549">
        <v>1.05809</v>
      </c>
      <c r="N179" s="509">
        <f t="shared" si="31"/>
        <v>-1586.8810584000021</v>
      </c>
      <c r="O179" s="116"/>
      <c r="P179" s="121"/>
    </row>
    <row r="180" spans="1:16" s="8" customFormat="1" ht="15" customHeight="1" x14ac:dyDescent="0.25">
      <c r="A180" s="552" t="s">
        <v>363</v>
      </c>
      <c r="B180" s="552" t="s">
        <v>364</v>
      </c>
      <c r="C180" s="552" t="s">
        <v>53</v>
      </c>
      <c r="D180" s="551">
        <v>40855</v>
      </c>
      <c r="E180" s="553">
        <v>14285</v>
      </c>
      <c r="F180" s="554">
        <v>1.7150000000000001</v>
      </c>
      <c r="G180" s="504">
        <f>SUM(E180*F180)</f>
        <v>24498.775000000001</v>
      </c>
      <c r="H180" s="558"/>
      <c r="I180" s="551">
        <v>41001</v>
      </c>
      <c r="J180" s="554">
        <v>1.93</v>
      </c>
      <c r="K180" s="507">
        <f>SUM(E180*J180)</f>
        <v>27570.05</v>
      </c>
      <c r="L180" s="508">
        <f>SUM(K180-G180)</f>
        <v>3071.2749999999978</v>
      </c>
      <c r="M180" s="549">
        <v>1.0446500000000001</v>
      </c>
      <c r="N180" s="509">
        <f>SUM(L180*M180)</f>
        <v>3208.407428749998</v>
      </c>
      <c r="O180" s="116"/>
      <c r="P180" s="121"/>
    </row>
    <row r="181" spans="1:16" s="8" customFormat="1" ht="15" customHeight="1" x14ac:dyDescent="0.25">
      <c r="A181" s="552" t="s">
        <v>144</v>
      </c>
      <c r="B181" s="552" t="s">
        <v>310</v>
      </c>
      <c r="C181" s="552" t="s">
        <v>53</v>
      </c>
      <c r="D181" s="551">
        <v>40945</v>
      </c>
      <c r="E181" s="553">
        <v>2360</v>
      </c>
      <c r="F181" s="553">
        <v>5.25</v>
      </c>
      <c r="G181" s="504">
        <f>SUM(E181*F181)</f>
        <v>12390</v>
      </c>
      <c r="H181" s="558"/>
      <c r="I181" s="551">
        <v>41009</v>
      </c>
      <c r="J181" s="554">
        <v>5.6219999999999999</v>
      </c>
      <c r="K181" s="507">
        <f>SUM(E181*J181)</f>
        <v>13267.92</v>
      </c>
      <c r="L181" s="508">
        <f>SUM(K181-G181)</f>
        <v>877.92000000000007</v>
      </c>
      <c r="M181" s="549">
        <v>1.0311600000000001</v>
      </c>
      <c r="N181" s="509">
        <f>SUM(L181*M181)</f>
        <v>905.27598720000015</v>
      </c>
      <c r="O181" s="116"/>
      <c r="P181" s="121"/>
    </row>
    <row r="182" spans="1:16" s="8" customFormat="1" ht="15" customHeight="1" x14ac:dyDescent="0.25">
      <c r="A182" s="552" t="s">
        <v>399</v>
      </c>
      <c r="B182" s="552" t="s">
        <v>400</v>
      </c>
      <c r="C182" s="552" t="s">
        <v>53</v>
      </c>
      <c r="D182" s="551">
        <v>40945</v>
      </c>
      <c r="E182" s="553">
        <v>5357</v>
      </c>
      <c r="F182" s="553">
        <v>8.1199999999999992</v>
      </c>
      <c r="G182" s="504">
        <f>SUM(E182*F182)</f>
        <v>43498.84</v>
      </c>
      <c r="H182" s="558"/>
      <c r="I182" s="551">
        <v>41009</v>
      </c>
      <c r="J182" s="554">
        <v>7.84</v>
      </c>
      <c r="K182" s="507">
        <f>SUM(E182*J182)</f>
        <v>41998.879999999997</v>
      </c>
      <c r="L182" s="508">
        <f>SUM(K182-G182)</f>
        <v>-1499.9599999999991</v>
      </c>
      <c r="M182" s="549">
        <v>1.0311600000000001</v>
      </c>
      <c r="N182" s="509">
        <f>SUM(L182*M182)</f>
        <v>-1546.6987535999992</v>
      </c>
      <c r="O182" s="116"/>
      <c r="P182" s="121"/>
    </row>
    <row r="183" spans="1:16" s="8" customFormat="1" ht="15" customHeight="1" x14ac:dyDescent="0.25">
      <c r="A183" s="552" t="s">
        <v>398</v>
      </c>
      <c r="B183" s="552" t="s">
        <v>274</v>
      </c>
      <c r="C183" s="552" t="s">
        <v>53</v>
      </c>
      <c r="D183" s="551">
        <v>40855</v>
      </c>
      <c r="E183" s="553">
        <v>6493</v>
      </c>
      <c r="F183" s="554">
        <v>1.8939999999999999</v>
      </c>
      <c r="G183" s="504">
        <f t="shared" si="33"/>
        <v>12297.742</v>
      </c>
      <c r="H183" s="558"/>
      <c r="I183" s="551">
        <v>41010</v>
      </c>
      <c r="J183" s="554">
        <v>1.74</v>
      </c>
      <c r="K183" s="507">
        <f t="shared" si="34"/>
        <v>11297.82</v>
      </c>
      <c r="L183" s="508">
        <f t="shared" si="35"/>
        <v>-999.92200000000048</v>
      </c>
      <c r="M183" s="549">
        <v>1.0247299999999999</v>
      </c>
      <c r="N183" s="509">
        <f t="shared" si="31"/>
        <v>-1024.6500710600003</v>
      </c>
      <c r="O183" s="116"/>
      <c r="P183" s="121"/>
    </row>
    <row r="184" spans="1:16" s="8" customFormat="1" ht="15" customHeight="1" x14ac:dyDescent="0.25">
      <c r="A184" s="552" t="s">
        <v>401</v>
      </c>
      <c r="B184" s="552" t="s">
        <v>402</v>
      </c>
      <c r="C184" s="552" t="s">
        <v>53</v>
      </c>
      <c r="D184" s="551">
        <v>40855</v>
      </c>
      <c r="E184" s="553">
        <v>575</v>
      </c>
      <c r="F184" s="554">
        <v>28.49</v>
      </c>
      <c r="G184" s="504">
        <f t="shared" si="33"/>
        <v>16381.75</v>
      </c>
      <c r="H184" s="558"/>
      <c r="I184" s="551">
        <v>41036</v>
      </c>
      <c r="J184" s="554">
        <v>27.94</v>
      </c>
      <c r="K184" s="507">
        <f t="shared" si="34"/>
        <v>16065.5</v>
      </c>
      <c r="L184" s="508">
        <f t="shared" si="35"/>
        <v>-316.25</v>
      </c>
      <c r="M184" s="549">
        <v>1.0152000000000001</v>
      </c>
      <c r="N184" s="509">
        <f t="shared" si="31"/>
        <v>-321.05700000000002</v>
      </c>
      <c r="O184" s="116"/>
      <c r="P184" s="121"/>
    </row>
    <row r="185" spans="1:16" s="18" customFormat="1" ht="15" customHeight="1" x14ac:dyDescent="0.25">
      <c r="A185" s="511" t="s">
        <v>250</v>
      </c>
      <c r="B185" s="511" t="s">
        <v>251</v>
      </c>
      <c r="C185" s="511" t="s">
        <v>78</v>
      </c>
      <c r="D185" s="512">
        <v>41029</v>
      </c>
      <c r="E185" s="513">
        <v>3750</v>
      </c>
      <c r="F185" s="514">
        <v>14.13</v>
      </c>
      <c r="G185" s="515">
        <f t="shared" si="33"/>
        <v>52987.5</v>
      </c>
      <c r="H185" s="522"/>
      <c r="I185" s="512">
        <v>41036</v>
      </c>
      <c r="J185" s="514">
        <v>13.73</v>
      </c>
      <c r="K185" s="518">
        <f t="shared" si="34"/>
        <v>51487.5</v>
      </c>
      <c r="L185" s="508">
        <f>SUM(G185-K185)</f>
        <v>1500</v>
      </c>
      <c r="M185" s="550">
        <v>1.0152000000000001</v>
      </c>
      <c r="N185" s="509">
        <f t="shared" si="31"/>
        <v>1522.8000000000002</v>
      </c>
      <c r="O185" s="115"/>
      <c r="P185" s="122"/>
    </row>
    <row r="186" spans="1:16" s="18" customFormat="1" ht="15" customHeight="1" x14ac:dyDescent="0.25">
      <c r="A186" s="511" t="s">
        <v>403</v>
      </c>
      <c r="B186" s="511" t="s">
        <v>404</v>
      </c>
      <c r="C186" s="511" t="s">
        <v>78</v>
      </c>
      <c r="D186" s="512">
        <v>41018</v>
      </c>
      <c r="E186" s="513">
        <v>55000</v>
      </c>
      <c r="F186" s="514">
        <v>0.28699999999999998</v>
      </c>
      <c r="G186" s="515">
        <f t="shared" si="33"/>
        <v>15784.999999999998</v>
      </c>
      <c r="H186" s="522"/>
      <c r="I186" s="512">
        <v>41040</v>
      </c>
      <c r="J186" s="514">
        <v>0.27800000000000002</v>
      </c>
      <c r="K186" s="518">
        <f t="shared" si="34"/>
        <v>15290.000000000002</v>
      </c>
      <c r="L186" s="508">
        <f>SUM(G186-K186)</f>
        <v>494.99999999999636</v>
      </c>
      <c r="M186" s="550">
        <v>1.00796</v>
      </c>
      <c r="N186" s="509">
        <f t="shared" si="31"/>
        <v>498.94019999999631</v>
      </c>
      <c r="O186" s="115"/>
      <c r="P186" s="122"/>
    </row>
    <row r="187" spans="1:16" s="374" customFormat="1" ht="15" customHeight="1" x14ac:dyDescent="0.25">
      <c r="A187" s="14" t="s">
        <v>405</v>
      </c>
      <c r="B187" s="14" t="s">
        <v>406</v>
      </c>
      <c r="C187" s="14" t="s">
        <v>53</v>
      </c>
      <c r="D187" s="576">
        <v>41040</v>
      </c>
      <c r="E187" s="479">
        <v>833</v>
      </c>
      <c r="F187" s="577">
        <v>12.692</v>
      </c>
      <c r="G187" s="504">
        <f t="shared" si="33"/>
        <v>10572.436</v>
      </c>
      <c r="H187" s="558"/>
      <c r="I187" s="559">
        <v>41046</v>
      </c>
      <c r="J187" s="577">
        <v>12.59</v>
      </c>
      <c r="K187" s="507">
        <f t="shared" ref="K187:K193" si="36">SUM(E187*J187)</f>
        <v>10487.47</v>
      </c>
      <c r="L187" s="508">
        <f>SUM(K187-G187)</f>
        <v>-84.966000000000349</v>
      </c>
      <c r="M187" s="549">
        <v>1.0553999999999999</v>
      </c>
      <c r="N187" s="509">
        <f t="shared" si="31"/>
        <v>-89.673116400000353</v>
      </c>
      <c r="O187" s="116"/>
      <c r="P187" s="121"/>
    </row>
    <row r="188" spans="1:16" s="8" customFormat="1" ht="15" customHeight="1" x14ac:dyDescent="0.25">
      <c r="A188" s="578" t="s">
        <v>407</v>
      </c>
      <c r="B188" s="578" t="s">
        <v>408</v>
      </c>
      <c r="C188" s="578" t="s">
        <v>53</v>
      </c>
      <c r="D188" s="579">
        <v>40855</v>
      </c>
      <c r="E188" s="580">
        <v>15625</v>
      </c>
      <c r="F188" s="581">
        <v>1.752</v>
      </c>
      <c r="G188" s="582">
        <f t="shared" si="33"/>
        <v>27375</v>
      </c>
      <c r="H188" s="583"/>
      <c r="I188" s="581"/>
      <c r="J188" s="581">
        <v>1.8979999999999999</v>
      </c>
      <c r="K188" s="584">
        <f t="shared" si="36"/>
        <v>29656.25</v>
      </c>
      <c r="L188" s="574">
        <f>SUM(K188-G188)</f>
        <v>2281.25</v>
      </c>
      <c r="M188" s="565">
        <v>1</v>
      </c>
      <c r="N188" s="575">
        <f t="shared" si="31"/>
        <v>2281.25</v>
      </c>
      <c r="O188" s="116"/>
      <c r="P188" s="121"/>
    </row>
    <row r="189" spans="1:16" s="18" customFormat="1" ht="15" customHeight="1" x14ac:dyDescent="0.25">
      <c r="A189" s="511" t="s">
        <v>409</v>
      </c>
      <c r="B189" s="511" t="s">
        <v>410</v>
      </c>
      <c r="C189" s="511" t="s">
        <v>78</v>
      </c>
      <c r="D189" s="512">
        <v>41064</v>
      </c>
      <c r="E189" s="513">
        <v>7142</v>
      </c>
      <c r="F189" s="514">
        <v>2.7280000000000002</v>
      </c>
      <c r="G189" s="515">
        <f t="shared" si="33"/>
        <v>19483.376</v>
      </c>
      <c r="H189" s="522"/>
      <c r="I189" s="559">
        <v>41066</v>
      </c>
      <c r="J189" s="514">
        <v>2.8719999999999999</v>
      </c>
      <c r="K189" s="518">
        <f t="shared" si="36"/>
        <v>20511.824000000001</v>
      </c>
      <c r="L189" s="519">
        <f>SUM(G189-K189)</f>
        <v>-1028.4480000000003</v>
      </c>
      <c r="M189" s="550">
        <v>0.97399999999999998</v>
      </c>
      <c r="N189" s="521">
        <f t="shared" si="31"/>
        <v>-1001.7083520000003</v>
      </c>
      <c r="O189" s="115"/>
      <c r="P189" s="122"/>
    </row>
    <row r="190" spans="1:16" s="18" customFormat="1" ht="15" customHeight="1" x14ac:dyDescent="0.25">
      <c r="A190" s="511" t="s">
        <v>235</v>
      </c>
      <c r="B190" s="511" t="s">
        <v>236</v>
      </c>
      <c r="C190" s="511" t="s">
        <v>78</v>
      </c>
      <c r="D190" s="512">
        <v>41036</v>
      </c>
      <c r="E190" s="513">
        <v>28800</v>
      </c>
      <c r="F190" s="514">
        <v>1.22</v>
      </c>
      <c r="G190" s="515">
        <f t="shared" si="33"/>
        <v>35136</v>
      </c>
      <c r="H190" s="522"/>
      <c r="I190" s="512">
        <v>41067</v>
      </c>
      <c r="J190" s="514">
        <v>1.0169999999999999</v>
      </c>
      <c r="K190" s="518">
        <f t="shared" si="36"/>
        <v>29289.599999999999</v>
      </c>
      <c r="L190" s="508">
        <f>SUM(G190-K190)</f>
        <v>5846.4000000000015</v>
      </c>
      <c r="M190" s="550">
        <v>0.99246000000000001</v>
      </c>
      <c r="N190" s="509">
        <f t="shared" si="31"/>
        <v>5802.3181440000017</v>
      </c>
      <c r="O190" s="115"/>
      <c r="P190" s="122"/>
    </row>
    <row r="191" spans="1:16" s="18" customFormat="1" ht="15" customHeight="1" x14ac:dyDescent="0.25">
      <c r="A191" s="511" t="s">
        <v>411</v>
      </c>
      <c r="B191" s="511" t="s">
        <v>412</v>
      </c>
      <c r="C191" s="511" t="s">
        <v>78</v>
      </c>
      <c r="D191" s="512">
        <v>41044</v>
      </c>
      <c r="E191" s="513">
        <v>4573</v>
      </c>
      <c r="F191" s="514">
        <v>8.5359999999999996</v>
      </c>
      <c r="G191" s="515">
        <f t="shared" si="33"/>
        <v>39035.127999999997</v>
      </c>
      <c r="H191" s="522"/>
      <c r="I191" s="512">
        <v>41067</v>
      </c>
      <c r="J191" s="514">
        <v>8.8640000000000008</v>
      </c>
      <c r="K191" s="518">
        <f t="shared" si="36"/>
        <v>40535.072</v>
      </c>
      <c r="L191" s="519">
        <f>SUM(G191-K191)</f>
        <v>-1499.9440000000031</v>
      </c>
      <c r="M191" s="550">
        <v>0.99246000000000001</v>
      </c>
      <c r="N191" s="521">
        <f t="shared" si="31"/>
        <v>-1488.6344222400032</v>
      </c>
      <c r="O191" s="115"/>
      <c r="P191" s="122"/>
    </row>
    <row r="192" spans="1:16" s="18" customFormat="1" ht="15" customHeight="1" x14ac:dyDescent="0.25">
      <c r="A192" s="511" t="s">
        <v>285</v>
      </c>
      <c r="B192" s="511" t="s">
        <v>286</v>
      </c>
      <c r="C192" s="511" t="s">
        <v>78</v>
      </c>
      <c r="D192" s="512">
        <v>41064</v>
      </c>
      <c r="E192" s="513">
        <v>2341</v>
      </c>
      <c r="F192" s="514">
        <v>11.31</v>
      </c>
      <c r="G192" s="515">
        <f t="shared" si="33"/>
        <v>26476.710000000003</v>
      </c>
      <c r="H192" s="522"/>
      <c r="I192" s="512">
        <v>41067</v>
      </c>
      <c r="J192" s="514">
        <v>11.95</v>
      </c>
      <c r="K192" s="518">
        <f t="shared" si="36"/>
        <v>27974.949999999997</v>
      </c>
      <c r="L192" s="519">
        <f>SUM(G192-K192)</f>
        <v>-1498.2399999999943</v>
      </c>
      <c r="M192" s="550">
        <v>0.99246000000000001</v>
      </c>
      <c r="N192" s="521">
        <f t="shared" si="31"/>
        <v>-1486.9432703999944</v>
      </c>
      <c r="O192" s="115"/>
      <c r="P192" s="122"/>
    </row>
    <row r="193" spans="1:16" s="18" customFormat="1" ht="15" customHeight="1" x14ac:dyDescent="0.25">
      <c r="A193" s="511" t="s">
        <v>315</v>
      </c>
      <c r="B193" s="511" t="s">
        <v>316</v>
      </c>
      <c r="C193" s="511" t="s">
        <v>78</v>
      </c>
      <c r="D193" s="512">
        <v>41040</v>
      </c>
      <c r="E193" s="513">
        <v>50000</v>
      </c>
      <c r="F193" s="514">
        <v>0.67</v>
      </c>
      <c r="G193" s="515">
        <f t="shared" si="33"/>
        <v>33500</v>
      </c>
      <c r="H193" s="522"/>
      <c r="I193" s="512">
        <v>41078</v>
      </c>
      <c r="J193" s="514">
        <v>0.65700000000000003</v>
      </c>
      <c r="K193" s="518">
        <f t="shared" si="36"/>
        <v>32850</v>
      </c>
      <c r="L193" s="508">
        <f>SUM(G193-K193)</f>
        <v>650</v>
      </c>
      <c r="M193" s="550">
        <v>1.0113099999999999</v>
      </c>
      <c r="N193" s="509">
        <f t="shared" si="31"/>
        <v>657.35149999999999</v>
      </c>
      <c r="O193" s="115"/>
      <c r="P193" s="122"/>
    </row>
    <row r="194" spans="1:16" s="8" customFormat="1" ht="15" customHeight="1" x14ac:dyDescent="0.25">
      <c r="A194" s="552" t="s">
        <v>350</v>
      </c>
      <c r="B194" s="552" t="s">
        <v>351</v>
      </c>
      <c r="C194" s="552" t="s">
        <v>53</v>
      </c>
      <c r="D194" s="551">
        <v>41080</v>
      </c>
      <c r="E194" s="553">
        <v>3588</v>
      </c>
      <c r="F194" s="554">
        <v>4.6779999999999999</v>
      </c>
      <c r="G194" s="504">
        <f t="shared" si="33"/>
        <v>16784.664000000001</v>
      </c>
      <c r="H194" s="558"/>
      <c r="I194" s="551">
        <v>41081</v>
      </c>
      <c r="J194" s="554">
        <v>4.2619999999999996</v>
      </c>
      <c r="K194" s="507">
        <f t="shared" ref="K194:K208" si="37">SUM(E194*J194)</f>
        <v>15292.055999999999</v>
      </c>
      <c r="L194" s="508">
        <f>SUM(K194-G194)</f>
        <v>-1492.608000000002</v>
      </c>
      <c r="M194" s="549">
        <v>1.0193000000000001</v>
      </c>
      <c r="N194" s="509">
        <f t="shared" si="31"/>
        <v>-1521.4153344000022</v>
      </c>
      <c r="O194" s="116"/>
      <c r="P194" s="121"/>
    </row>
    <row r="195" spans="1:16" s="8" customFormat="1" ht="15" customHeight="1" x14ac:dyDescent="0.25">
      <c r="A195" s="552" t="s">
        <v>413</v>
      </c>
      <c r="B195" s="552" t="s">
        <v>414</v>
      </c>
      <c r="C195" s="552" t="s">
        <v>53</v>
      </c>
      <c r="D195" s="551">
        <v>40855</v>
      </c>
      <c r="E195" s="553">
        <v>12195</v>
      </c>
      <c r="F195" s="554">
        <v>2.0409999999999999</v>
      </c>
      <c r="G195" s="504">
        <f t="shared" si="33"/>
        <v>24889.994999999999</v>
      </c>
      <c r="H195" s="558"/>
      <c r="I195" s="551">
        <v>41087</v>
      </c>
      <c r="J195" s="554">
        <v>2.1949999999999998</v>
      </c>
      <c r="K195" s="507">
        <f t="shared" si="37"/>
        <v>26768.024999999998</v>
      </c>
      <c r="L195" s="508">
        <f>SUM(K195-G195)</f>
        <v>1878.0299999999988</v>
      </c>
      <c r="M195" s="549">
        <v>1.00624</v>
      </c>
      <c r="N195" s="509">
        <f t="shared" si="31"/>
        <v>1889.7489071999989</v>
      </c>
      <c r="O195" s="116"/>
      <c r="P195" s="121"/>
    </row>
    <row r="196" spans="1:16" s="18" customFormat="1" ht="15" customHeight="1" x14ac:dyDescent="0.25">
      <c r="A196" s="511" t="s">
        <v>415</v>
      </c>
      <c r="B196" s="511" t="s">
        <v>416</v>
      </c>
      <c r="C196" s="511" t="s">
        <v>78</v>
      </c>
      <c r="D196" s="512">
        <v>41081</v>
      </c>
      <c r="E196" s="513">
        <v>10000</v>
      </c>
      <c r="F196" s="514">
        <v>1.675</v>
      </c>
      <c r="G196" s="515">
        <f t="shared" si="33"/>
        <v>16750</v>
      </c>
      <c r="H196" s="522"/>
      <c r="I196" s="512">
        <v>41088</v>
      </c>
      <c r="J196" s="514">
        <v>1.762</v>
      </c>
      <c r="K196" s="518">
        <f t="shared" si="37"/>
        <v>17620</v>
      </c>
      <c r="L196" s="519">
        <f t="shared" ref="L196:L208" si="38">SUM(G196-K196)</f>
        <v>-870</v>
      </c>
      <c r="M196" s="550">
        <v>1.00803</v>
      </c>
      <c r="N196" s="521">
        <f t="shared" si="31"/>
        <v>-876.98609999999996</v>
      </c>
      <c r="O196" s="115"/>
      <c r="P196" s="122"/>
    </row>
    <row r="197" spans="1:16" s="18" customFormat="1" ht="15" customHeight="1" x14ac:dyDescent="0.25">
      <c r="A197" s="511" t="s">
        <v>417</v>
      </c>
      <c r="B197" s="511" t="s">
        <v>418</v>
      </c>
      <c r="C197" s="511" t="s">
        <v>78</v>
      </c>
      <c r="D197" s="512">
        <v>41085</v>
      </c>
      <c r="E197" s="513">
        <v>15000</v>
      </c>
      <c r="F197" s="514">
        <v>0.55600000000000005</v>
      </c>
      <c r="G197" s="515">
        <f t="shared" si="33"/>
        <v>8340</v>
      </c>
      <c r="H197" s="522"/>
      <c r="I197" s="512">
        <v>41092</v>
      </c>
      <c r="J197" s="514">
        <v>0.60399999999999998</v>
      </c>
      <c r="K197" s="518">
        <f t="shared" si="37"/>
        <v>9060</v>
      </c>
      <c r="L197" s="519">
        <f t="shared" si="38"/>
        <v>-720</v>
      </c>
      <c r="M197" s="550">
        <v>1.0259</v>
      </c>
      <c r="N197" s="521">
        <f t="shared" si="31"/>
        <v>-738.64800000000002</v>
      </c>
      <c r="O197" s="115"/>
      <c r="P197" s="122"/>
    </row>
    <row r="198" spans="1:16" s="18" customFormat="1" ht="15" customHeight="1" x14ac:dyDescent="0.25">
      <c r="A198" s="511" t="s">
        <v>139</v>
      </c>
      <c r="B198" s="511" t="s">
        <v>345</v>
      </c>
      <c r="C198" s="511" t="s">
        <v>78</v>
      </c>
      <c r="D198" s="512">
        <v>41045</v>
      </c>
      <c r="E198" s="513">
        <v>7075</v>
      </c>
      <c r="F198" s="514">
        <v>1.204</v>
      </c>
      <c r="G198" s="515">
        <f t="shared" si="33"/>
        <v>8518.2999999999993</v>
      </c>
      <c r="H198" s="522"/>
      <c r="I198" s="512">
        <v>41092</v>
      </c>
      <c r="J198" s="514">
        <v>1.3109999999999999</v>
      </c>
      <c r="K198" s="518">
        <f t="shared" si="37"/>
        <v>9275.3249999999989</v>
      </c>
      <c r="L198" s="519">
        <f t="shared" si="38"/>
        <v>-757.02499999999964</v>
      </c>
      <c r="M198" s="550">
        <v>1.0259</v>
      </c>
      <c r="N198" s="521">
        <f t="shared" si="31"/>
        <v>-776.63194749999968</v>
      </c>
      <c r="O198" s="115"/>
      <c r="P198" s="122"/>
    </row>
    <row r="199" spans="1:16" s="18" customFormat="1" ht="15" customHeight="1" x14ac:dyDescent="0.25">
      <c r="A199" s="511" t="s">
        <v>367</v>
      </c>
      <c r="B199" s="511" t="s">
        <v>247</v>
      </c>
      <c r="C199" s="511" t="s">
        <v>78</v>
      </c>
      <c r="D199" s="512">
        <v>41016</v>
      </c>
      <c r="E199" s="585">
        <v>27777</v>
      </c>
      <c r="F199" s="514">
        <v>0.65300000000000002</v>
      </c>
      <c r="G199" s="515">
        <f t="shared" si="33"/>
        <v>18138.381000000001</v>
      </c>
      <c r="H199" s="522"/>
      <c r="I199" s="512">
        <v>41093</v>
      </c>
      <c r="J199" s="514">
        <v>0.51500000000000001</v>
      </c>
      <c r="K199" s="518">
        <f t="shared" si="37"/>
        <v>14305.155000000001</v>
      </c>
      <c r="L199" s="508">
        <f t="shared" si="38"/>
        <v>3833.2260000000006</v>
      </c>
      <c r="M199" s="550">
        <v>1.0247599999999999</v>
      </c>
      <c r="N199" s="509">
        <f t="shared" si="31"/>
        <v>3928.1366757600003</v>
      </c>
      <c r="O199" s="115"/>
      <c r="P199" s="122"/>
    </row>
    <row r="200" spans="1:16" s="18" customFormat="1" ht="15" customHeight="1" x14ac:dyDescent="0.25">
      <c r="A200" s="511" t="s">
        <v>419</v>
      </c>
      <c r="B200" s="511" t="s">
        <v>243</v>
      </c>
      <c r="C200" s="511" t="s">
        <v>78</v>
      </c>
      <c r="D200" s="512">
        <v>41045</v>
      </c>
      <c r="E200" s="513">
        <v>843</v>
      </c>
      <c r="F200" s="514">
        <v>32.79</v>
      </c>
      <c r="G200" s="515">
        <f t="shared" si="33"/>
        <v>27641.969999999998</v>
      </c>
      <c r="H200" s="522"/>
      <c r="I200" s="512">
        <v>41094</v>
      </c>
      <c r="J200" s="514">
        <v>32.287999999999997</v>
      </c>
      <c r="K200" s="518">
        <f t="shared" si="37"/>
        <v>27218.783999999996</v>
      </c>
      <c r="L200" s="508">
        <f t="shared" si="38"/>
        <v>423.18600000000151</v>
      </c>
      <c r="M200" s="550">
        <v>1.0281100000000001</v>
      </c>
      <c r="N200" s="509">
        <f t="shared" si="31"/>
        <v>435.08175846000159</v>
      </c>
      <c r="O200" s="115"/>
      <c r="P200" s="122"/>
    </row>
    <row r="201" spans="1:16" s="18" customFormat="1" ht="15" customHeight="1" x14ac:dyDescent="0.25">
      <c r="A201" s="511" t="s">
        <v>420</v>
      </c>
      <c r="B201" s="511" t="s">
        <v>421</v>
      </c>
      <c r="C201" s="511" t="s">
        <v>78</v>
      </c>
      <c r="D201" s="512">
        <v>41004</v>
      </c>
      <c r="E201" s="513">
        <v>17857</v>
      </c>
      <c r="F201" s="514">
        <v>1.0780000000000001</v>
      </c>
      <c r="G201" s="515">
        <f t="shared" si="33"/>
        <v>19249.846000000001</v>
      </c>
      <c r="H201" s="522"/>
      <c r="I201" s="512">
        <v>41094</v>
      </c>
      <c r="J201" s="514">
        <v>0.93600000000000005</v>
      </c>
      <c r="K201" s="518">
        <f t="shared" si="37"/>
        <v>16714.152000000002</v>
      </c>
      <c r="L201" s="508">
        <f t="shared" si="38"/>
        <v>2535.6939999999995</v>
      </c>
      <c r="M201" s="550">
        <v>1.0281100000000001</v>
      </c>
      <c r="N201" s="509">
        <f t="shared" si="31"/>
        <v>2606.9723583399996</v>
      </c>
      <c r="O201" s="115"/>
      <c r="P201" s="122"/>
    </row>
    <row r="202" spans="1:16" s="18" customFormat="1" ht="15" customHeight="1" x14ac:dyDescent="0.25">
      <c r="A202" s="511" t="s">
        <v>329</v>
      </c>
      <c r="B202" s="511" t="s">
        <v>330</v>
      </c>
      <c r="C202" s="511" t="s">
        <v>78</v>
      </c>
      <c r="D202" s="512">
        <v>41065</v>
      </c>
      <c r="E202" s="513">
        <v>11111</v>
      </c>
      <c r="F202" s="514">
        <v>1.1599999999999999</v>
      </c>
      <c r="G202" s="515">
        <f t="shared" ref="G202:G235" si="39">SUM(E202*F202)</f>
        <v>12888.759999999998</v>
      </c>
      <c r="H202" s="522"/>
      <c r="I202" s="512">
        <v>41095</v>
      </c>
      <c r="J202" s="514">
        <v>1.1200000000000001</v>
      </c>
      <c r="K202" s="518">
        <f t="shared" si="37"/>
        <v>12444.320000000002</v>
      </c>
      <c r="L202" s="508">
        <f t="shared" si="38"/>
        <v>444.43999999999687</v>
      </c>
      <c r="M202" s="550">
        <v>1.0274300000000001</v>
      </c>
      <c r="N202" s="509">
        <f t="shared" si="31"/>
        <v>456.6309891999968</v>
      </c>
      <c r="O202" s="115"/>
      <c r="P202" s="122"/>
    </row>
    <row r="203" spans="1:16" s="18" customFormat="1" ht="15" customHeight="1" x14ac:dyDescent="0.25">
      <c r="A203" s="511" t="s">
        <v>422</v>
      </c>
      <c r="B203" s="511" t="s">
        <v>423</v>
      </c>
      <c r="C203" s="511" t="s">
        <v>78</v>
      </c>
      <c r="D203" s="512">
        <v>41081</v>
      </c>
      <c r="E203" s="513">
        <v>4838</v>
      </c>
      <c r="F203" s="513">
        <v>7.3620000000000001</v>
      </c>
      <c r="G203" s="515">
        <f t="shared" si="39"/>
        <v>35617.356</v>
      </c>
      <c r="H203" s="522"/>
      <c r="I203" s="512">
        <v>41108</v>
      </c>
      <c r="J203" s="514">
        <v>7.6260000000000003</v>
      </c>
      <c r="K203" s="518">
        <f t="shared" si="37"/>
        <v>36894.588000000003</v>
      </c>
      <c r="L203" s="519">
        <f t="shared" si="38"/>
        <v>-1277.2320000000036</v>
      </c>
      <c r="M203" s="550">
        <v>1.0315099999999999</v>
      </c>
      <c r="N203" s="521">
        <f t="shared" si="31"/>
        <v>-1317.4775803200037</v>
      </c>
      <c r="O203" s="115"/>
      <c r="P203" s="122"/>
    </row>
    <row r="204" spans="1:16" s="18" customFormat="1" ht="15" customHeight="1" x14ac:dyDescent="0.25">
      <c r="A204" s="511" t="s">
        <v>424</v>
      </c>
      <c r="B204" s="511" t="s">
        <v>425</v>
      </c>
      <c r="C204" s="511" t="s">
        <v>78</v>
      </c>
      <c r="D204" s="512">
        <v>41064</v>
      </c>
      <c r="E204" s="513">
        <v>14285</v>
      </c>
      <c r="F204" s="514">
        <v>0.38</v>
      </c>
      <c r="G204" s="515">
        <f t="shared" si="39"/>
        <v>5428.3</v>
      </c>
      <c r="H204" s="522"/>
      <c r="I204" s="512">
        <v>41109</v>
      </c>
      <c r="J204" s="514">
        <v>0.41699999999999998</v>
      </c>
      <c r="K204" s="518">
        <f t="shared" si="37"/>
        <v>5956.8449999999993</v>
      </c>
      <c r="L204" s="519">
        <f t="shared" si="38"/>
        <v>-528.54499999999916</v>
      </c>
      <c r="M204" s="550">
        <v>1.0363100000000001</v>
      </c>
      <c r="N204" s="521">
        <f t="shared" si="31"/>
        <v>-547.73646894999922</v>
      </c>
      <c r="O204" s="115"/>
      <c r="P204" s="122"/>
    </row>
    <row r="205" spans="1:16" s="18" customFormat="1" ht="15" customHeight="1" x14ac:dyDescent="0.25">
      <c r="A205" s="511" t="s">
        <v>307</v>
      </c>
      <c r="B205" s="511" t="s">
        <v>308</v>
      </c>
      <c r="C205" s="511" t="s">
        <v>78</v>
      </c>
      <c r="D205" s="512">
        <v>41045</v>
      </c>
      <c r="E205" s="513">
        <v>1271</v>
      </c>
      <c r="F205" s="514">
        <v>18.350000000000001</v>
      </c>
      <c r="G205" s="515">
        <f t="shared" si="39"/>
        <v>23322.850000000002</v>
      </c>
      <c r="H205" s="522"/>
      <c r="I205" s="512">
        <v>41120</v>
      </c>
      <c r="J205" s="514">
        <v>17.03</v>
      </c>
      <c r="K205" s="518">
        <f t="shared" si="37"/>
        <v>21645.13</v>
      </c>
      <c r="L205" s="508">
        <f t="shared" si="38"/>
        <v>1677.7200000000012</v>
      </c>
      <c r="M205" s="550">
        <v>1.04731</v>
      </c>
      <c r="N205" s="509">
        <f t="shared" si="31"/>
        <v>1757.0929332000012</v>
      </c>
      <c r="O205" s="115"/>
      <c r="P205" s="122"/>
    </row>
    <row r="206" spans="1:16" s="18" customFormat="1" ht="15" customHeight="1" x14ac:dyDescent="0.25">
      <c r="A206" s="511" t="s">
        <v>426</v>
      </c>
      <c r="B206" s="511" t="s">
        <v>427</v>
      </c>
      <c r="C206" s="511" t="s">
        <v>78</v>
      </c>
      <c r="D206" s="512">
        <v>41081</v>
      </c>
      <c r="E206" s="513">
        <v>1562</v>
      </c>
      <c r="F206" s="514">
        <v>11.34</v>
      </c>
      <c r="G206" s="515">
        <f t="shared" si="39"/>
        <v>17713.079999999998</v>
      </c>
      <c r="H206" s="522"/>
      <c r="I206" s="512">
        <v>41130</v>
      </c>
      <c r="J206" s="514">
        <v>9.75</v>
      </c>
      <c r="K206" s="518">
        <f t="shared" si="37"/>
        <v>15229.5</v>
      </c>
      <c r="L206" s="508">
        <f t="shared" si="38"/>
        <v>2483.5799999999981</v>
      </c>
      <c r="M206" s="550">
        <v>1.0569599999999999</v>
      </c>
      <c r="N206" s="509">
        <f t="shared" si="31"/>
        <v>2625.0447167999978</v>
      </c>
      <c r="O206" s="115"/>
      <c r="P206" s="122"/>
    </row>
    <row r="207" spans="1:16" s="18" customFormat="1" ht="15" customHeight="1" x14ac:dyDescent="0.25">
      <c r="A207" s="511" t="s">
        <v>401</v>
      </c>
      <c r="B207" s="511" t="s">
        <v>402</v>
      </c>
      <c r="C207" s="511" t="s">
        <v>78</v>
      </c>
      <c r="D207" s="512">
        <v>41109</v>
      </c>
      <c r="E207" s="513">
        <v>937.5</v>
      </c>
      <c r="F207" s="514">
        <v>24.35</v>
      </c>
      <c r="G207" s="515">
        <f t="shared" si="39"/>
        <v>22828.125</v>
      </c>
      <c r="H207" s="522"/>
      <c r="I207" s="512">
        <v>41130</v>
      </c>
      <c r="J207" s="514">
        <v>25.65</v>
      </c>
      <c r="K207" s="518">
        <f t="shared" si="37"/>
        <v>24046.875</v>
      </c>
      <c r="L207" s="519">
        <f t="shared" si="38"/>
        <v>-1218.75</v>
      </c>
      <c r="M207" s="550">
        <v>1.0569599999999999</v>
      </c>
      <c r="N207" s="521">
        <f t="shared" si="31"/>
        <v>-1288.1699999999998</v>
      </c>
      <c r="O207" s="115"/>
      <c r="P207" s="122"/>
    </row>
    <row r="208" spans="1:16" s="18" customFormat="1" ht="15" customHeight="1" x14ac:dyDescent="0.25">
      <c r="A208" s="511" t="s">
        <v>228</v>
      </c>
      <c r="B208" s="511" t="s">
        <v>229</v>
      </c>
      <c r="C208" s="511" t="s">
        <v>78</v>
      </c>
      <c r="D208" s="512">
        <v>41127</v>
      </c>
      <c r="E208" s="513">
        <v>3521</v>
      </c>
      <c r="F208" s="514">
        <v>3.8580000000000001</v>
      </c>
      <c r="G208" s="515">
        <f t="shared" si="39"/>
        <v>13584.018</v>
      </c>
      <c r="H208" s="522"/>
      <c r="I208" s="512">
        <v>41130</v>
      </c>
      <c r="J208" s="514">
        <v>4.1420000000000003</v>
      </c>
      <c r="K208" s="518">
        <f t="shared" si="37"/>
        <v>14583.982000000002</v>
      </c>
      <c r="L208" s="519">
        <f t="shared" si="38"/>
        <v>-999.96400000000176</v>
      </c>
      <c r="M208" s="550">
        <v>1.0569599999999999</v>
      </c>
      <c r="N208" s="521">
        <f t="shared" si="31"/>
        <v>-1056.9219494400018</v>
      </c>
      <c r="O208" s="115"/>
      <c r="P208" s="122"/>
    </row>
    <row r="209" spans="1:16" s="8" customFormat="1" ht="15" customHeight="1" x14ac:dyDescent="0.25">
      <c r="A209" s="552" t="s">
        <v>428</v>
      </c>
      <c r="B209" s="552" t="s">
        <v>429</v>
      </c>
      <c r="C209" s="552" t="s">
        <v>53</v>
      </c>
      <c r="D209" s="551">
        <v>41032</v>
      </c>
      <c r="E209" s="553">
        <v>2830</v>
      </c>
      <c r="F209" s="554">
        <v>20.47</v>
      </c>
      <c r="G209" s="504">
        <f t="shared" si="39"/>
        <v>57930.1</v>
      </c>
      <c r="H209" s="558"/>
      <c r="I209" s="551">
        <v>41134</v>
      </c>
      <c r="J209" s="554">
        <v>22.72</v>
      </c>
      <c r="K209" s="507">
        <f>SUM(E209*J209)</f>
        <v>64297.599999999999</v>
      </c>
      <c r="L209" s="508">
        <f>SUM(K209-G209)</f>
        <v>6367.5</v>
      </c>
      <c r="M209" s="549">
        <v>1.05532</v>
      </c>
      <c r="N209" s="509">
        <f t="shared" si="31"/>
        <v>6719.7501000000002</v>
      </c>
      <c r="O209" s="116"/>
      <c r="P209" s="121"/>
    </row>
    <row r="210" spans="1:16" s="8" customFormat="1" ht="15" customHeight="1" x14ac:dyDescent="0.25">
      <c r="A210" s="578" t="s">
        <v>430</v>
      </c>
      <c r="B210" s="578" t="s">
        <v>431</v>
      </c>
      <c r="C210" s="578" t="s">
        <v>53</v>
      </c>
      <c r="D210" s="579">
        <v>41113</v>
      </c>
      <c r="E210" s="580">
        <v>13000</v>
      </c>
      <c r="F210" s="581">
        <v>2.64</v>
      </c>
      <c r="G210" s="582">
        <f t="shared" si="39"/>
        <v>34320</v>
      </c>
      <c r="H210" s="583"/>
      <c r="I210" s="581"/>
      <c r="J210" s="581">
        <v>2.65</v>
      </c>
      <c r="K210" s="584">
        <f>SUM(E210*J210)</f>
        <v>34450</v>
      </c>
      <c r="L210" s="574">
        <f>SUM(K210-G210)</f>
        <v>130</v>
      </c>
      <c r="M210" s="565">
        <v>1</v>
      </c>
      <c r="N210" s="575">
        <f t="shared" si="31"/>
        <v>130</v>
      </c>
      <c r="O210" s="116"/>
      <c r="P210" s="121"/>
    </row>
    <row r="211" spans="1:16" s="8" customFormat="1" ht="15" customHeight="1" x14ac:dyDescent="0.25">
      <c r="A211" s="552" t="s">
        <v>432</v>
      </c>
      <c r="B211" s="552" t="s">
        <v>433</v>
      </c>
      <c r="C211" s="552" t="s">
        <v>53</v>
      </c>
      <c r="D211" s="551">
        <v>41115</v>
      </c>
      <c r="E211" s="553">
        <v>949</v>
      </c>
      <c r="F211" s="554">
        <v>54.79</v>
      </c>
      <c r="G211" s="504">
        <f t="shared" si="39"/>
        <v>51995.71</v>
      </c>
      <c r="H211" s="558"/>
      <c r="I211" s="551">
        <v>41141</v>
      </c>
      <c r="J211" s="554">
        <v>54.73</v>
      </c>
      <c r="K211" s="507">
        <f>SUM(E211*J211)</f>
        <v>51938.77</v>
      </c>
      <c r="L211" s="508">
        <f>SUM(K211-G211)</f>
        <v>-56.940000000002328</v>
      </c>
      <c r="M211" s="549">
        <v>1.04314</v>
      </c>
      <c r="N211" s="509">
        <f t="shared" si="31"/>
        <v>-59.396391600002424</v>
      </c>
      <c r="O211" s="116"/>
      <c r="P211" s="121"/>
    </row>
    <row r="212" spans="1:16" s="18" customFormat="1" ht="15" customHeight="1" x14ac:dyDescent="0.25">
      <c r="A212" s="511" t="s">
        <v>434</v>
      </c>
      <c r="B212" s="511" t="s">
        <v>435</v>
      </c>
      <c r="C212" s="511" t="s">
        <v>78</v>
      </c>
      <c r="D212" s="512">
        <v>41043</v>
      </c>
      <c r="E212" s="513">
        <v>18292</v>
      </c>
      <c r="F212" s="514">
        <v>0.89</v>
      </c>
      <c r="G212" s="515">
        <f t="shared" si="39"/>
        <v>16279.880000000001</v>
      </c>
      <c r="H212" s="522"/>
      <c r="I212" s="512">
        <v>41144</v>
      </c>
      <c r="J212" s="514">
        <v>0.60499999999999998</v>
      </c>
      <c r="K212" s="518">
        <f>SUM(E212*J212)</f>
        <v>11066.66</v>
      </c>
      <c r="L212" s="508">
        <f>SUM(G212-K212)</f>
        <v>5213.2200000000012</v>
      </c>
      <c r="M212" s="550">
        <v>1.0504599999999999</v>
      </c>
      <c r="N212" s="509">
        <f t="shared" si="31"/>
        <v>5476.2790812000012</v>
      </c>
      <c r="O212" s="115"/>
      <c r="P212" s="122"/>
    </row>
    <row r="213" spans="1:16" s="8" customFormat="1" ht="15" customHeight="1" x14ac:dyDescent="0.25">
      <c r="A213" s="552" t="s">
        <v>239</v>
      </c>
      <c r="B213" s="552" t="s">
        <v>240</v>
      </c>
      <c r="C213" s="552" t="s">
        <v>53</v>
      </c>
      <c r="D213" s="551">
        <v>41135</v>
      </c>
      <c r="E213" s="553">
        <v>10000</v>
      </c>
      <c r="F213" s="554">
        <v>1.385</v>
      </c>
      <c r="G213" s="504">
        <f t="shared" si="39"/>
        <v>13850</v>
      </c>
      <c r="H213" s="558"/>
      <c r="I213" s="551">
        <v>41145</v>
      </c>
      <c r="J213" s="554">
        <v>1.2849999999999999</v>
      </c>
      <c r="K213" s="507">
        <f t="shared" ref="K213:K218" si="40">SUM(E213*J213)</f>
        <v>12850</v>
      </c>
      <c r="L213" s="508">
        <f>SUM(K213-G213)</f>
        <v>-1000</v>
      </c>
      <c r="M213" s="549">
        <v>1.04393</v>
      </c>
      <c r="N213" s="509">
        <f t="shared" si="31"/>
        <v>-1043.93</v>
      </c>
      <c r="O213" s="116"/>
      <c r="P213" s="121"/>
    </row>
    <row r="214" spans="1:16" s="8" customFormat="1" ht="15" customHeight="1" x14ac:dyDescent="0.25">
      <c r="A214" s="552" t="s">
        <v>436</v>
      </c>
      <c r="B214" s="552" t="s">
        <v>437</v>
      </c>
      <c r="C214" s="552" t="s">
        <v>53</v>
      </c>
      <c r="D214" s="551">
        <v>41161</v>
      </c>
      <c r="E214" s="553">
        <v>8333</v>
      </c>
      <c r="F214" s="554">
        <v>1.94</v>
      </c>
      <c r="G214" s="504">
        <f t="shared" si="39"/>
        <v>16166.02</v>
      </c>
      <c r="H214" s="558"/>
      <c r="I214" s="551">
        <v>41155</v>
      </c>
      <c r="J214" s="554">
        <v>1.82</v>
      </c>
      <c r="K214" s="507">
        <f t="shared" si="40"/>
        <v>15166.060000000001</v>
      </c>
      <c r="L214" s="508">
        <f>SUM(K214-G214)</f>
        <v>-999.95999999999913</v>
      </c>
      <c r="M214" s="549">
        <v>1.0284899999999999</v>
      </c>
      <c r="N214" s="509">
        <f t="shared" si="31"/>
        <v>-1028.4488603999989</v>
      </c>
      <c r="O214" s="116"/>
      <c r="P214" s="121"/>
    </row>
    <row r="215" spans="1:16" s="8" customFormat="1" ht="15" customHeight="1" x14ac:dyDescent="0.25">
      <c r="A215" s="552" t="s">
        <v>438</v>
      </c>
      <c r="B215" s="552" t="s">
        <v>439</v>
      </c>
      <c r="C215" s="552" t="s">
        <v>53</v>
      </c>
      <c r="D215" s="551">
        <v>41151</v>
      </c>
      <c r="E215" s="553">
        <v>2941</v>
      </c>
      <c r="F215" s="554">
        <v>8.44</v>
      </c>
      <c r="G215" s="504">
        <f t="shared" si="39"/>
        <v>24822.039999999997</v>
      </c>
      <c r="H215" s="558"/>
      <c r="I215" s="551">
        <v>41162</v>
      </c>
      <c r="J215" s="554">
        <v>8.1</v>
      </c>
      <c r="K215" s="507">
        <f t="shared" si="40"/>
        <v>23822.1</v>
      </c>
      <c r="L215" s="508">
        <f>SUM(K215-G215)</f>
        <v>-999.93999999999869</v>
      </c>
      <c r="M215" s="549">
        <v>1.03681</v>
      </c>
      <c r="N215" s="509">
        <f t="shared" si="31"/>
        <v>-1036.7477913999987</v>
      </c>
      <c r="O215" s="116"/>
      <c r="P215" s="121"/>
    </row>
    <row r="216" spans="1:16" s="18" customFormat="1" ht="15" customHeight="1" x14ac:dyDescent="0.25">
      <c r="A216" s="511" t="s">
        <v>176</v>
      </c>
      <c r="B216" s="511" t="s">
        <v>177</v>
      </c>
      <c r="C216" s="511" t="s">
        <v>78</v>
      </c>
      <c r="D216" s="512">
        <v>41043</v>
      </c>
      <c r="E216" s="513">
        <v>5000</v>
      </c>
      <c r="F216" s="514">
        <v>1.77</v>
      </c>
      <c r="G216" s="515">
        <f t="shared" si="39"/>
        <v>8850</v>
      </c>
      <c r="H216" s="522"/>
      <c r="I216" s="512">
        <v>41166</v>
      </c>
      <c r="J216" s="586">
        <v>0.72499999999999998</v>
      </c>
      <c r="K216" s="518">
        <f t="shared" si="40"/>
        <v>3625</v>
      </c>
      <c r="L216" s="508">
        <f>SUM(G216-K216)</f>
        <v>5225</v>
      </c>
      <c r="M216" s="550">
        <v>1.05464</v>
      </c>
      <c r="N216" s="509">
        <f t="shared" si="31"/>
        <v>5510.4939999999997</v>
      </c>
      <c r="O216" s="115"/>
      <c r="P216" s="122"/>
    </row>
    <row r="217" spans="1:16" s="18" customFormat="1" ht="15" customHeight="1" x14ac:dyDescent="0.25">
      <c r="A217" s="511" t="s">
        <v>440</v>
      </c>
      <c r="B217" s="511" t="s">
        <v>441</v>
      </c>
      <c r="C217" s="511" t="s">
        <v>78</v>
      </c>
      <c r="D217" s="512">
        <v>41081</v>
      </c>
      <c r="E217" s="513">
        <v>6048</v>
      </c>
      <c r="F217" s="514">
        <v>1.8660000000000001</v>
      </c>
      <c r="G217" s="515">
        <f t="shared" si="39"/>
        <v>11285.568000000001</v>
      </c>
      <c r="H217" s="522"/>
      <c r="I217" s="512">
        <v>41166</v>
      </c>
      <c r="J217" s="514">
        <v>1.615</v>
      </c>
      <c r="K217" s="518">
        <f t="shared" si="40"/>
        <v>9767.52</v>
      </c>
      <c r="L217" s="508">
        <f>SUM(G217-K217)</f>
        <v>1518.0480000000007</v>
      </c>
      <c r="M217" s="550">
        <v>1.05464</v>
      </c>
      <c r="N217" s="509">
        <f t="shared" si="31"/>
        <v>1600.9941427200008</v>
      </c>
      <c r="O217" s="115"/>
      <c r="P217" s="122"/>
    </row>
    <row r="218" spans="1:16" s="18" customFormat="1" ht="15" customHeight="1" x14ac:dyDescent="0.25">
      <c r="A218" s="511" t="s">
        <v>442</v>
      </c>
      <c r="B218" s="511" t="s">
        <v>443</v>
      </c>
      <c r="C218" s="511" t="s">
        <v>78</v>
      </c>
      <c r="D218" s="512">
        <v>41031</v>
      </c>
      <c r="E218" s="513">
        <v>4687</v>
      </c>
      <c r="F218" s="514">
        <v>4.55</v>
      </c>
      <c r="G218" s="515">
        <f t="shared" si="39"/>
        <v>21325.85</v>
      </c>
      <c r="H218" s="522"/>
      <c r="I218" s="512">
        <v>41169</v>
      </c>
      <c r="J218" s="514">
        <v>2.82</v>
      </c>
      <c r="K218" s="518">
        <f t="shared" si="40"/>
        <v>13217.34</v>
      </c>
      <c r="L218" s="508">
        <f>SUM(G218-K218)</f>
        <v>8108.5099999999984</v>
      </c>
      <c r="M218" s="550">
        <v>1.0552600000000001</v>
      </c>
      <c r="N218" s="509">
        <f t="shared" si="31"/>
        <v>8556.5862625999998</v>
      </c>
      <c r="O218" s="115"/>
      <c r="P218" s="122"/>
    </row>
    <row r="219" spans="1:16" s="8" customFormat="1" ht="15" customHeight="1" x14ac:dyDescent="0.25">
      <c r="A219" s="552" t="s">
        <v>444</v>
      </c>
      <c r="B219" s="552" t="s">
        <v>445</v>
      </c>
      <c r="C219" s="552" t="s">
        <v>53</v>
      </c>
      <c r="D219" s="551">
        <v>41113</v>
      </c>
      <c r="E219" s="553">
        <v>22000</v>
      </c>
      <c r="F219" s="554">
        <v>0.70899999999999996</v>
      </c>
      <c r="G219" s="504">
        <f t="shared" si="39"/>
        <v>15598</v>
      </c>
      <c r="H219" s="558"/>
      <c r="I219" s="551">
        <v>41169</v>
      </c>
      <c r="J219" s="554">
        <v>0.73599999999999999</v>
      </c>
      <c r="K219" s="507">
        <f t="shared" ref="K219:K244" si="41">SUM(E219*J219)</f>
        <v>16192</v>
      </c>
      <c r="L219" s="508">
        <f>SUM(K219-G219)</f>
        <v>594</v>
      </c>
      <c r="M219" s="549">
        <v>1.0552600000000001</v>
      </c>
      <c r="N219" s="509">
        <f t="shared" si="31"/>
        <v>626.8244400000001</v>
      </c>
      <c r="O219" s="116"/>
      <c r="P219" s="121"/>
    </row>
    <row r="220" spans="1:16" s="8" customFormat="1" ht="15" customHeight="1" x14ac:dyDescent="0.25">
      <c r="A220" s="552" t="s">
        <v>446</v>
      </c>
      <c r="B220" s="552" t="s">
        <v>447</v>
      </c>
      <c r="C220" s="552" t="s">
        <v>53</v>
      </c>
      <c r="D220" s="551">
        <v>41138</v>
      </c>
      <c r="E220" s="553">
        <v>3061</v>
      </c>
      <c r="F220" s="554">
        <v>13.03</v>
      </c>
      <c r="G220" s="504">
        <f t="shared" si="39"/>
        <v>39884.829999999994</v>
      </c>
      <c r="H220" s="558"/>
      <c r="I220" s="551">
        <v>41169</v>
      </c>
      <c r="J220" s="554">
        <v>12.82</v>
      </c>
      <c r="K220" s="507">
        <f t="shared" si="41"/>
        <v>39242.020000000004</v>
      </c>
      <c r="L220" s="508">
        <f>SUM(K220-G220)</f>
        <v>-642.8099999999904</v>
      </c>
      <c r="M220" s="549">
        <v>1.0552600000000001</v>
      </c>
      <c r="N220" s="509">
        <f t="shared" si="31"/>
        <v>-678.33168059998991</v>
      </c>
      <c r="O220" s="116"/>
      <c r="P220" s="121"/>
    </row>
    <row r="221" spans="1:16" s="8" customFormat="1" ht="15" customHeight="1" x14ac:dyDescent="0.25">
      <c r="A221" s="552" t="s">
        <v>448</v>
      </c>
      <c r="B221" s="552" t="s">
        <v>449</v>
      </c>
      <c r="C221" s="552" t="s">
        <v>53</v>
      </c>
      <c r="D221" s="551">
        <v>41155</v>
      </c>
      <c r="E221" s="553">
        <v>10000</v>
      </c>
      <c r="F221" s="554">
        <v>1.44</v>
      </c>
      <c r="G221" s="504">
        <f t="shared" si="39"/>
        <v>14400</v>
      </c>
      <c r="H221" s="558"/>
      <c r="I221" s="551">
        <v>41173</v>
      </c>
      <c r="J221" s="554">
        <v>1.34</v>
      </c>
      <c r="K221" s="507">
        <f t="shared" si="41"/>
        <v>13400</v>
      </c>
      <c r="L221" s="508">
        <f>SUM(K221-G221)</f>
        <v>-1000</v>
      </c>
      <c r="M221" s="549">
        <v>1.0434600000000001</v>
      </c>
      <c r="N221" s="509">
        <f t="shared" si="31"/>
        <v>-1043.46</v>
      </c>
      <c r="O221" s="116"/>
      <c r="P221" s="121"/>
    </row>
    <row r="222" spans="1:16" s="8" customFormat="1" ht="15" customHeight="1" x14ac:dyDescent="0.25">
      <c r="A222" s="552" t="s">
        <v>450</v>
      </c>
      <c r="B222" s="552" t="s">
        <v>202</v>
      </c>
      <c r="C222" s="552" t="s">
        <v>53</v>
      </c>
      <c r="D222" s="551">
        <v>41143</v>
      </c>
      <c r="E222" s="553">
        <v>30000</v>
      </c>
      <c r="F222" s="554">
        <v>0.45500000000000002</v>
      </c>
      <c r="G222" s="504">
        <f t="shared" si="39"/>
        <v>13650</v>
      </c>
      <c r="H222" s="558"/>
      <c r="I222" s="551">
        <v>41178</v>
      </c>
      <c r="J222" s="554">
        <v>0.47499999999999998</v>
      </c>
      <c r="K222" s="507">
        <f t="shared" si="41"/>
        <v>14250</v>
      </c>
      <c r="L222" s="508">
        <f>SUM(K222-G222)</f>
        <v>600</v>
      </c>
      <c r="M222" s="549">
        <v>1.0389299999999999</v>
      </c>
      <c r="N222" s="509">
        <f t="shared" si="31"/>
        <v>623.35799999999995</v>
      </c>
      <c r="O222" s="116"/>
      <c r="P222" s="121"/>
    </row>
    <row r="223" spans="1:16" s="8" customFormat="1" ht="15" customHeight="1" x14ac:dyDescent="0.25">
      <c r="A223" s="552" t="s">
        <v>451</v>
      </c>
      <c r="B223" s="552" t="s">
        <v>452</v>
      </c>
      <c r="C223" s="552" t="s">
        <v>53</v>
      </c>
      <c r="D223" s="551">
        <v>41138</v>
      </c>
      <c r="E223" s="553">
        <v>633</v>
      </c>
      <c r="F223" s="554">
        <v>26.18</v>
      </c>
      <c r="G223" s="504">
        <f t="shared" si="39"/>
        <v>16571.939999999999</v>
      </c>
      <c r="H223" s="558"/>
      <c r="I223" s="551">
        <v>41180</v>
      </c>
      <c r="J223" s="554">
        <v>25.83</v>
      </c>
      <c r="K223" s="507">
        <f t="shared" si="41"/>
        <v>16350.39</v>
      </c>
      <c r="L223" s="508">
        <f>SUM(K223-G223)</f>
        <v>-221.54999999999927</v>
      </c>
      <c r="M223" s="549">
        <v>1.0217400000000001</v>
      </c>
      <c r="N223" s="509">
        <f t="shared" si="31"/>
        <v>-226.36649699999927</v>
      </c>
      <c r="O223" s="116"/>
      <c r="P223" s="121"/>
    </row>
    <row r="224" spans="1:16" s="18" customFormat="1" ht="15" customHeight="1" x14ac:dyDescent="0.25">
      <c r="A224" s="511" t="s">
        <v>220</v>
      </c>
      <c r="B224" s="511" t="s">
        <v>221</v>
      </c>
      <c r="C224" s="511" t="s">
        <v>78</v>
      </c>
      <c r="D224" s="512">
        <v>41138</v>
      </c>
      <c r="E224" s="513">
        <v>3571</v>
      </c>
      <c r="F224" s="514">
        <v>4.6500000000000004</v>
      </c>
      <c r="G224" s="515">
        <f t="shared" si="39"/>
        <v>16605.150000000001</v>
      </c>
      <c r="H224" s="522"/>
      <c r="I224" s="512">
        <v>41186</v>
      </c>
      <c r="J224" s="514">
        <v>4.8600000000000003</v>
      </c>
      <c r="K224" s="518">
        <f t="shared" si="41"/>
        <v>17355.060000000001</v>
      </c>
      <c r="L224" s="519">
        <f>SUM(G224-K224)</f>
        <v>-749.90999999999985</v>
      </c>
      <c r="M224" s="550">
        <v>1.0217400000000001</v>
      </c>
      <c r="N224" s="521">
        <f t="shared" si="31"/>
        <v>-766.21304339999995</v>
      </c>
      <c r="O224" s="115"/>
      <c r="P224" s="122"/>
    </row>
    <row r="225" spans="1:16" s="8" customFormat="1" ht="15" customHeight="1" x14ac:dyDescent="0.25">
      <c r="A225" s="552" t="s">
        <v>260</v>
      </c>
      <c r="B225" s="552" t="s">
        <v>261</v>
      </c>
      <c r="C225" s="552" t="s">
        <v>53</v>
      </c>
      <c r="D225" s="551">
        <v>41190</v>
      </c>
      <c r="E225" s="553">
        <v>2343</v>
      </c>
      <c r="F225" s="554">
        <v>16.32</v>
      </c>
      <c r="G225" s="504">
        <f t="shared" si="39"/>
        <v>38237.760000000002</v>
      </c>
      <c r="H225" s="558"/>
      <c r="I225" s="551">
        <v>41205</v>
      </c>
      <c r="J225" s="554">
        <v>15.87</v>
      </c>
      <c r="K225" s="507">
        <f t="shared" si="41"/>
        <v>37183.409999999996</v>
      </c>
      <c r="L225" s="508">
        <f t="shared" ref="L225:L238" si="42">SUM(K225-G225)</f>
        <v>-1054.3500000000058</v>
      </c>
      <c r="M225" s="549">
        <v>1.0320800000000001</v>
      </c>
      <c r="N225" s="509">
        <f t="shared" si="31"/>
        <v>-1088.1735480000061</v>
      </c>
      <c r="O225" s="116"/>
      <c r="P225" s="121"/>
    </row>
    <row r="226" spans="1:16" s="8" customFormat="1" ht="15" customHeight="1" x14ac:dyDescent="0.25">
      <c r="A226" s="552" t="s">
        <v>453</v>
      </c>
      <c r="B226" s="552" t="s">
        <v>454</v>
      </c>
      <c r="C226" s="552" t="s">
        <v>53</v>
      </c>
      <c r="D226" s="551">
        <v>41194</v>
      </c>
      <c r="E226" s="553">
        <v>5000</v>
      </c>
      <c r="F226" s="554">
        <v>3.9</v>
      </c>
      <c r="G226" s="504">
        <f t="shared" si="39"/>
        <v>19500</v>
      </c>
      <c r="H226" s="558"/>
      <c r="I226" s="551">
        <v>41206</v>
      </c>
      <c r="J226" s="554">
        <v>3.7</v>
      </c>
      <c r="K226" s="507">
        <f t="shared" si="41"/>
        <v>18500</v>
      </c>
      <c r="L226" s="508">
        <f t="shared" si="42"/>
        <v>-1000</v>
      </c>
      <c r="M226" s="549">
        <v>1.0264599999999999</v>
      </c>
      <c r="N226" s="509">
        <f t="shared" si="31"/>
        <v>-1026.46</v>
      </c>
      <c r="O226" s="116"/>
      <c r="P226" s="121"/>
    </row>
    <row r="227" spans="1:16" s="8" customFormat="1" ht="15" customHeight="1" x14ac:dyDescent="0.25">
      <c r="A227" s="552" t="s">
        <v>434</v>
      </c>
      <c r="B227" s="552" t="s">
        <v>435</v>
      </c>
      <c r="C227" s="552" t="s">
        <v>53</v>
      </c>
      <c r="D227" s="551">
        <v>41144</v>
      </c>
      <c r="E227" s="553">
        <v>5769</v>
      </c>
      <c r="F227" s="554">
        <v>0.60499999999999998</v>
      </c>
      <c r="G227" s="504">
        <f t="shared" si="39"/>
        <v>3490.2449999999999</v>
      </c>
      <c r="H227" s="558"/>
      <c r="I227" s="551">
        <v>41213</v>
      </c>
      <c r="J227" s="554">
        <v>0.45900000000000002</v>
      </c>
      <c r="K227" s="507">
        <f t="shared" si="41"/>
        <v>2647.971</v>
      </c>
      <c r="L227" s="508">
        <f t="shared" si="42"/>
        <v>-842.27399999999989</v>
      </c>
      <c r="M227" s="549">
        <v>1.0363100000000001</v>
      </c>
      <c r="N227" s="509">
        <f t="shared" ref="N227:N244" si="43">SUM(L227*M227)</f>
        <v>-872.85696893999989</v>
      </c>
      <c r="O227" s="116"/>
      <c r="P227" s="121"/>
    </row>
    <row r="228" spans="1:16" s="8" customFormat="1" ht="15" customHeight="1" x14ac:dyDescent="0.25">
      <c r="A228" s="552" t="s">
        <v>264</v>
      </c>
      <c r="B228" s="552" t="s">
        <v>265</v>
      </c>
      <c r="C228" s="552" t="s">
        <v>53</v>
      </c>
      <c r="D228" s="551">
        <v>41192</v>
      </c>
      <c r="E228" s="553">
        <v>1807</v>
      </c>
      <c r="F228" s="554">
        <v>26.1</v>
      </c>
      <c r="G228" s="504">
        <f t="shared" si="39"/>
        <v>47162.700000000004</v>
      </c>
      <c r="H228" s="558"/>
      <c r="I228" s="551">
        <v>41213</v>
      </c>
      <c r="J228" s="554">
        <v>25.66</v>
      </c>
      <c r="K228" s="507">
        <f t="shared" si="41"/>
        <v>46367.62</v>
      </c>
      <c r="L228" s="508">
        <f t="shared" si="42"/>
        <v>-795.08000000000175</v>
      </c>
      <c r="M228" s="549">
        <v>1.0363100000000001</v>
      </c>
      <c r="N228" s="509">
        <f t="shared" si="43"/>
        <v>-823.94935480000186</v>
      </c>
      <c r="O228" s="116"/>
      <c r="P228" s="121"/>
    </row>
    <row r="229" spans="1:16" s="8" customFormat="1" ht="15" customHeight="1" x14ac:dyDescent="0.25">
      <c r="A229" s="552" t="s">
        <v>442</v>
      </c>
      <c r="B229" s="552" t="s">
        <v>443</v>
      </c>
      <c r="C229" s="552" t="s">
        <v>53</v>
      </c>
      <c r="D229" s="551">
        <v>41169</v>
      </c>
      <c r="E229" s="553">
        <v>2027</v>
      </c>
      <c r="F229" s="554">
        <v>2.82</v>
      </c>
      <c r="G229" s="504">
        <f t="shared" si="39"/>
        <v>5716.1399999999994</v>
      </c>
      <c r="H229" s="558"/>
      <c r="I229" s="551">
        <v>41219</v>
      </c>
      <c r="J229" s="554">
        <v>2.4359999999999999</v>
      </c>
      <c r="K229" s="507">
        <f t="shared" si="41"/>
        <v>4937.7719999999999</v>
      </c>
      <c r="L229" s="508">
        <f t="shared" si="42"/>
        <v>-778.36799999999948</v>
      </c>
      <c r="M229" s="549">
        <v>1.0364100000000001</v>
      </c>
      <c r="N229" s="509">
        <f t="shared" si="43"/>
        <v>-806.70837887999949</v>
      </c>
      <c r="O229" s="116"/>
      <c r="P229" s="121"/>
    </row>
    <row r="230" spans="1:16" s="8" customFormat="1" ht="15" customHeight="1" x14ac:dyDescent="0.25">
      <c r="A230" s="552" t="s">
        <v>235</v>
      </c>
      <c r="B230" s="552" t="s">
        <v>236</v>
      </c>
      <c r="C230" s="552" t="s">
        <v>53</v>
      </c>
      <c r="D230" s="551">
        <v>41194</v>
      </c>
      <c r="E230" s="553">
        <v>11112</v>
      </c>
      <c r="F230" s="554">
        <v>0.95</v>
      </c>
      <c r="G230" s="504">
        <f t="shared" si="39"/>
        <v>10556.4</v>
      </c>
      <c r="H230" s="558"/>
      <c r="I230" s="551">
        <v>41219</v>
      </c>
      <c r="J230" s="554">
        <v>0.86</v>
      </c>
      <c r="K230" s="507">
        <f t="shared" si="41"/>
        <v>9556.32</v>
      </c>
      <c r="L230" s="508">
        <f t="shared" si="42"/>
        <v>-1000.0799999999999</v>
      </c>
      <c r="M230" s="549">
        <v>1.0364100000000001</v>
      </c>
      <c r="N230" s="509">
        <f t="shared" si="43"/>
        <v>-1036.4929127999999</v>
      </c>
      <c r="O230" s="116"/>
      <c r="P230" s="121"/>
    </row>
    <row r="231" spans="1:16" s="8" customFormat="1" ht="15" customHeight="1" x14ac:dyDescent="0.25">
      <c r="A231" s="552" t="s">
        <v>455</v>
      </c>
      <c r="B231" s="552" t="s">
        <v>456</v>
      </c>
      <c r="C231" s="552" t="s">
        <v>53</v>
      </c>
      <c r="D231" s="551">
        <v>41194</v>
      </c>
      <c r="E231" s="553">
        <v>2050</v>
      </c>
      <c r="F231" s="554">
        <v>12.9</v>
      </c>
      <c r="G231" s="504">
        <f t="shared" si="39"/>
        <v>26445</v>
      </c>
      <c r="H231" s="558"/>
      <c r="I231" s="551">
        <v>41219</v>
      </c>
      <c r="J231" s="554">
        <v>12.42</v>
      </c>
      <c r="K231" s="507">
        <f t="shared" si="41"/>
        <v>25461</v>
      </c>
      <c r="L231" s="508">
        <f t="shared" si="42"/>
        <v>-984</v>
      </c>
      <c r="M231" s="549">
        <v>1.0364100000000001</v>
      </c>
      <c r="N231" s="509">
        <f t="shared" si="43"/>
        <v>-1019.82744</v>
      </c>
      <c r="O231" s="116"/>
      <c r="P231" s="121"/>
    </row>
    <row r="232" spans="1:16" s="8" customFormat="1" ht="15" customHeight="1" x14ac:dyDescent="0.25">
      <c r="A232" s="552" t="s">
        <v>457</v>
      </c>
      <c r="B232" s="552" t="s">
        <v>240</v>
      </c>
      <c r="C232" s="552" t="s">
        <v>53</v>
      </c>
      <c r="D232" s="551">
        <v>41213</v>
      </c>
      <c r="E232" s="553">
        <v>8323</v>
      </c>
      <c r="F232" s="554">
        <v>1.43</v>
      </c>
      <c r="G232" s="504">
        <f t="shared" si="39"/>
        <v>11901.89</v>
      </c>
      <c r="H232" s="558"/>
      <c r="I232" s="551">
        <v>41220</v>
      </c>
      <c r="J232" s="554">
        <v>1.36</v>
      </c>
      <c r="K232" s="507">
        <f t="shared" si="41"/>
        <v>11319.28</v>
      </c>
      <c r="L232" s="508">
        <f t="shared" si="42"/>
        <v>-582.60999999999876</v>
      </c>
      <c r="M232" s="549">
        <v>1.0434099999999999</v>
      </c>
      <c r="N232" s="509">
        <f t="shared" si="43"/>
        <v>-607.90110009999864</v>
      </c>
      <c r="O232" s="116"/>
      <c r="P232" s="121"/>
    </row>
    <row r="233" spans="1:16" s="8" customFormat="1" ht="15" customHeight="1" x14ac:dyDescent="0.25">
      <c r="A233" s="552" t="s">
        <v>458</v>
      </c>
      <c r="B233" s="552" t="s">
        <v>459</v>
      </c>
      <c r="C233" s="552" t="s">
        <v>53</v>
      </c>
      <c r="D233" s="551">
        <v>41066</v>
      </c>
      <c r="E233" s="553">
        <v>862</v>
      </c>
      <c r="F233" s="587">
        <v>47.37</v>
      </c>
      <c r="G233" s="504">
        <f>SUM(E233*F233)</f>
        <v>40832.939999999995</v>
      </c>
      <c r="H233" s="558"/>
      <c r="I233" s="551">
        <v>41220</v>
      </c>
      <c r="J233" s="554">
        <v>47.34</v>
      </c>
      <c r="K233" s="507">
        <f>SUM(E233*J233)</f>
        <v>40807.08</v>
      </c>
      <c r="L233" s="508">
        <f>SUM(K233-G233)</f>
        <v>-25.859999999993306</v>
      </c>
      <c r="M233" s="549">
        <v>1.0434099999999999</v>
      </c>
      <c r="N233" s="509">
        <f>SUM(L233*M233)</f>
        <v>-26.982582599993012</v>
      </c>
      <c r="O233" s="116"/>
      <c r="P233" s="121"/>
    </row>
    <row r="234" spans="1:16" s="8" customFormat="1" ht="15" customHeight="1" x14ac:dyDescent="0.25">
      <c r="A234" s="552" t="s">
        <v>460</v>
      </c>
      <c r="B234" s="552" t="s">
        <v>461</v>
      </c>
      <c r="C234" s="552" t="s">
        <v>53</v>
      </c>
      <c r="D234" s="551">
        <v>41159</v>
      </c>
      <c r="E234" s="553">
        <v>408</v>
      </c>
      <c r="F234" s="587">
        <v>89.41</v>
      </c>
      <c r="G234" s="504">
        <f>SUM(E234*F234)</f>
        <v>36479.279999999999</v>
      </c>
      <c r="H234" s="558"/>
      <c r="I234" s="551">
        <v>41220</v>
      </c>
      <c r="J234" s="554">
        <v>88.91</v>
      </c>
      <c r="K234" s="507">
        <f>SUM(E234*J234)</f>
        <v>36275.279999999999</v>
      </c>
      <c r="L234" s="508">
        <f>SUM(K234-G234)</f>
        <v>-204</v>
      </c>
      <c r="M234" s="549">
        <v>1.0434099999999999</v>
      </c>
      <c r="N234" s="509">
        <f>SUM(L234*M234)</f>
        <v>-212.85563999999999</v>
      </c>
      <c r="O234" s="116"/>
      <c r="P234" s="121"/>
    </row>
    <row r="235" spans="1:16" s="8" customFormat="1" ht="15" customHeight="1" x14ac:dyDescent="0.25">
      <c r="A235" s="552" t="s">
        <v>352</v>
      </c>
      <c r="B235" s="552" t="s">
        <v>219</v>
      </c>
      <c r="C235" s="552" t="s">
        <v>53</v>
      </c>
      <c r="D235" s="551">
        <v>41169</v>
      </c>
      <c r="E235" s="553">
        <v>15700</v>
      </c>
      <c r="F235" s="554">
        <v>1.59</v>
      </c>
      <c r="G235" s="504">
        <f t="shared" si="39"/>
        <v>24963</v>
      </c>
      <c r="H235" s="558"/>
      <c r="I235" s="551">
        <v>41221</v>
      </c>
      <c r="J235" s="554">
        <v>1.617</v>
      </c>
      <c r="K235" s="507">
        <f t="shared" si="41"/>
        <v>25386.9</v>
      </c>
      <c r="L235" s="508">
        <f t="shared" si="42"/>
        <v>423.90000000000146</v>
      </c>
      <c r="M235" s="549">
        <v>1.0406</v>
      </c>
      <c r="N235" s="509">
        <f t="shared" si="43"/>
        <v>441.11034000000149</v>
      </c>
      <c r="O235" s="116"/>
      <c r="P235" s="121"/>
    </row>
    <row r="236" spans="1:16" s="8" customFormat="1" ht="15" customHeight="1" x14ac:dyDescent="0.25">
      <c r="A236" s="552" t="s">
        <v>462</v>
      </c>
      <c r="B236" s="552" t="s">
        <v>463</v>
      </c>
      <c r="C236" s="552" t="s">
        <v>53</v>
      </c>
      <c r="D236" s="551">
        <v>41221</v>
      </c>
      <c r="E236" s="553">
        <v>465</v>
      </c>
      <c r="F236" s="587">
        <v>51.45</v>
      </c>
      <c r="G236" s="504">
        <f t="shared" ref="G236:G244" si="44">SUM(E236*F236)</f>
        <v>23924.25</v>
      </c>
      <c r="H236" s="558"/>
      <c r="I236" s="551">
        <v>41222</v>
      </c>
      <c r="J236" s="587">
        <v>49.31</v>
      </c>
      <c r="K236" s="507">
        <f t="shared" si="41"/>
        <v>22929.15</v>
      </c>
      <c r="L236" s="508">
        <f t="shared" si="42"/>
        <v>-995.09999999999854</v>
      </c>
      <c r="M236" s="549">
        <v>1.04047</v>
      </c>
      <c r="N236" s="509">
        <f t="shared" si="43"/>
        <v>-1035.3716969999984</v>
      </c>
      <c r="O236" s="116"/>
      <c r="P236" s="121"/>
    </row>
    <row r="237" spans="1:16" s="8" customFormat="1" ht="15" customHeight="1" x14ac:dyDescent="0.25">
      <c r="A237" s="552" t="s">
        <v>419</v>
      </c>
      <c r="B237" s="552" t="s">
        <v>243</v>
      </c>
      <c r="C237" s="552" t="s">
        <v>53</v>
      </c>
      <c r="D237" s="551">
        <v>41194</v>
      </c>
      <c r="E237" s="553">
        <v>867</v>
      </c>
      <c r="F237" s="554">
        <v>34.4</v>
      </c>
      <c r="G237" s="504">
        <f t="shared" si="44"/>
        <v>29824.799999999999</v>
      </c>
      <c r="H237" s="558"/>
      <c r="I237" s="551">
        <v>41228</v>
      </c>
      <c r="J237" s="554">
        <v>33.25</v>
      </c>
      <c r="K237" s="507">
        <f t="shared" si="41"/>
        <v>28827.75</v>
      </c>
      <c r="L237" s="508">
        <f t="shared" si="42"/>
        <v>-997.04999999999927</v>
      </c>
      <c r="M237" s="549">
        <v>1.03752</v>
      </c>
      <c r="N237" s="509">
        <f t="shared" si="43"/>
        <v>-1034.4593159999993</v>
      </c>
      <c r="O237" s="116"/>
      <c r="P237" s="121"/>
    </row>
    <row r="238" spans="1:16" s="8" customFormat="1" ht="15" customHeight="1" x14ac:dyDescent="0.25">
      <c r="A238" s="552" t="s">
        <v>464</v>
      </c>
      <c r="B238" s="552" t="s">
        <v>395</v>
      </c>
      <c r="C238" s="552" t="s">
        <v>53</v>
      </c>
      <c r="D238" s="551">
        <v>41155</v>
      </c>
      <c r="E238" s="553">
        <v>2083</v>
      </c>
      <c r="F238" s="554">
        <v>23.07</v>
      </c>
      <c r="G238" s="504">
        <f t="shared" si="44"/>
        <v>48054.81</v>
      </c>
      <c r="H238" s="558"/>
      <c r="I238" s="551">
        <v>41229</v>
      </c>
      <c r="J238" s="554">
        <v>22.84</v>
      </c>
      <c r="K238" s="507">
        <f t="shared" si="41"/>
        <v>47575.72</v>
      </c>
      <c r="L238" s="508">
        <f t="shared" si="42"/>
        <v>-479.08999999999651</v>
      </c>
      <c r="M238" s="549">
        <v>1.0331399999999999</v>
      </c>
      <c r="N238" s="509">
        <f t="shared" si="43"/>
        <v>-494.96704259999638</v>
      </c>
      <c r="O238" s="116"/>
      <c r="P238" s="121"/>
    </row>
    <row r="239" spans="1:16" s="18" customFormat="1" ht="15" customHeight="1" x14ac:dyDescent="0.25">
      <c r="A239" s="511" t="s">
        <v>465</v>
      </c>
      <c r="B239" s="511" t="s">
        <v>466</v>
      </c>
      <c r="C239" s="511" t="s">
        <v>78</v>
      </c>
      <c r="D239" s="512">
        <v>41064</v>
      </c>
      <c r="E239" s="513">
        <v>3410</v>
      </c>
      <c r="F239" s="514">
        <v>2.27</v>
      </c>
      <c r="G239" s="515">
        <f t="shared" si="44"/>
        <v>7740.7</v>
      </c>
      <c r="H239" s="522"/>
      <c r="I239" s="512">
        <v>41229</v>
      </c>
      <c r="J239" s="514">
        <v>1.37</v>
      </c>
      <c r="K239" s="518">
        <f t="shared" si="41"/>
        <v>4671.7000000000007</v>
      </c>
      <c r="L239" s="508">
        <f>SUM(G239-K239)</f>
        <v>3068.9999999999991</v>
      </c>
      <c r="M239" s="550">
        <v>1.0331399999999999</v>
      </c>
      <c r="N239" s="509">
        <f t="shared" si="43"/>
        <v>3170.7066599999989</v>
      </c>
      <c r="O239" s="115"/>
      <c r="P239" s="122"/>
    </row>
    <row r="240" spans="1:16" s="8" customFormat="1" ht="15" customHeight="1" x14ac:dyDescent="0.25">
      <c r="A240" s="552" t="s">
        <v>467</v>
      </c>
      <c r="B240" s="552" t="s">
        <v>468</v>
      </c>
      <c r="C240" s="552" t="s">
        <v>53</v>
      </c>
      <c r="D240" s="551">
        <v>41194</v>
      </c>
      <c r="E240" s="553">
        <v>4166</v>
      </c>
      <c r="F240" s="554">
        <v>3.07</v>
      </c>
      <c r="G240" s="504">
        <f t="shared" si="44"/>
        <v>12789.619999999999</v>
      </c>
      <c r="H240" s="558"/>
      <c r="I240" s="551">
        <v>41239</v>
      </c>
      <c r="J240" s="554">
        <v>2.83</v>
      </c>
      <c r="K240" s="507">
        <f t="shared" si="41"/>
        <v>11789.78</v>
      </c>
      <c r="L240" s="508">
        <f t="shared" ref="L240:L245" si="45">SUM(K240-G240)</f>
        <v>-999.83999999999833</v>
      </c>
      <c r="M240" s="549">
        <v>1.04593</v>
      </c>
      <c r="N240" s="509">
        <f t="shared" si="43"/>
        <v>-1045.7626511999983</v>
      </c>
      <c r="O240" s="116"/>
      <c r="P240" s="121"/>
    </row>
    <row r="241" spans="1:16" s="8" customFormat="1" ht="15" customHeight="1" x14ac:dyDescent="0.25">
      <c r="A241" s="552" t="s">
        <v>455</v>
      </c>
      <c r="B241" s="552" t="s">
        <v>456</v>
      </c>
      <c r="C241" s="552" t="s">
        <v>53</v>
      </c>
      <c r="D241" s="551">
        <v>41246</v>
      </c>
      <c r="E241" s="553">
        <v>2678</v>
      </c>
      <c r="F241" s="554">
        <v>13.43</v>
      </c>
      <c r="G241" s="504">
        <f t="shared" si="44"/>
        <v>35965.54</v>
      </c>
      <c r="H241" s="558"/>
      <c r="I241" s="551">
        <v>41288</v>
      </c>
      <c r="J241" s="554">
        <v>13.31</v>
      </c>
      <c r="K241" s="507">
        <f t="shared" si="41"/>
        <v>35644.18</v>
      </c>
      <c r="L241" s="508">
        <f t="shared" si="45"/>
        <v>-321.36000000000058</v>
      </c>
      <c r="M241" s="549">
        <v>1.0549200000000001</v>
      </c>
      <c r="N241" s="509">
        <f t="shared" si="43"/>
        <v>-339.00909120000063</v>
      </c>
      <c r="O241" s="116"/>
      <c r="P241" s="121"/>
    </row>
    <row r="242" spans="1:16" s="8" customFormat="1" ht="15" customHeight="1" x14ac:dyDescent="0.25">
      <c r="A242" s="552" t="s">
        <v>469</v>
      </c>
      <c r="B242" s="552" t="s">
        <v>470</v>
      </c>
      <c r="C242" s="552" t="s">
        <v>53</v>
      </c>
      <c r="D242" s="551">
        <v>41260</v>
      </c>
      <c r="E242" s="553">
        <v>5000</v>
      </c>
      <c r="F242" s="554">
        <v>2.25</v>
      </c>
      <c r="G242" s="504">
        <f t="shared" si="44"/>
        <v>11250</v>
      </c>
      <c r="H242" s="558"/>
      <c r="I242" s="551">
        <v>41296</v>
      </c>
      <c r="J242" s="554">
        <v>2.1320000000000001</v>
      </c>
      <c r="K242" s="507">
        <f t="shared" si="41"/>
        <v>10660</v>
      </c>
      <c r="L242" s="508">
        <f t="shared" si="45"/>
        <v>-590</v>
      </c>
      <c r="M242" s="549">
        <v>1.0514699999999999</v>
      </c>
      <c r="N242" s="509">
        <f t="shared" si="43"/>
        <v>-620.3673</v>
      </c>
      <c r="O242" s="116"/>
      <c r="P242" s="121"/>
    </row>
    <row r="243" spans="1:16" s="8" customFormat="1" ht="15" customHeight="1" x14ac:dyDescent="0.25">
      <c r="A243" s="552" t="s">
        <v>471</v>
      </c>
      <c r="B243" s="552" t="s">
        <v>223</v>
      </c>
      <c r="C243" s="552" t="s">
        <v>53</v>
      </c>
      <c r="D243" s="551">
        <v>41260</v>
      </c>
      <c r="E243" s="553">
        <v>2678</v>
      </c>
      <c r="F243" s="554">
        <v>8.42</v>
      </c>
      <c r="G243" s="504">
        <f t="shared" si="44"/>
        <v>22548.76</v>
      </c>
      <c r="H243" s="558"/>
      <c r="I243" s="551">
        <v>41298</v>
      </c>
      <c r="J243" s="554">
        <v>8.06</v>
      </c>
      <c r="K243" s="507">
        <f t="shared" si="41"/>
        <v>21584.68</v>
      </c>
      <c r="L243" s="508">
        <f t="shared" si="45"/>
        <v>-964.07999999999811</v>
      </c>
      <c r="M243" s="549">
        <v>1.0553699999999999</v>
      </c>
      <c r="N243" s="509">
        <f t="shared" si="43"/>
        <v>-1017.4611095999979</v>
      </c>
      <c r="O243" s="116"/>
      <c r="P243" s="121"/>
    </row>
    <row r="244" spans="1:16" s="8" customFormat="1" ht="15" customHeight="1" x14ac:dyDescent="0.25">
      <c r="A244" s="552" t="s">
        <v>472</v>
      </c>
      <c r="B244" s="552" t="s">
        <v>473</v>
      </c>
      <c r="C244" s="552" t="s">
        <v>53</v>
      </c>
      <c r="D244" s="551">
        <v>41270</v>
      </c>
      <c r="E244" s="553">
        <v>3554</v>
      </c>
      <c r="F244" s="554">
        <v>3.49</v>
      </c>
      <c r="G244" s="504">
        <f t="shared" si="44"/>
        <v>12403.460000000001</v>
      </c>
      <c r="H244" s="558"/>
      <c r="I244" s="551">
        <v>41298</v>
      </c>
      <c r="J244" s="554">
        <v>3.42</v>
      </c>
      <c r="K244" s="507">
        <f t="shared" si="41"/>
        <v>12154.68</v>
      </c>
      <c r="L244" s="508">
        <f t="shared" si="45"/>
        <v>-248.78000000000065</v>
      </c>
      <c r="M244" s="549">
        <v>1.0553699999999999</v>
      </c>
      <c r="N244" s="509">
        <f t="shared" si="43"/>
        <v>-262.55494860000067</v>
      </c>
      <c r="O244" s="116"/>
      <c r="P244" s="121"/>
    </row>
    <row r="245" spans="1:16" s="119" customFormat="1" ht="15" customHeight="1" x14ac:dyDescent="0.25">
      <c r="A245" s="500" t="s">
        <v>176</v>
      </c>
      <c r="B245" s="500" t="s">
        <v>177</v>
      </c>
      <c r="C245" s="500" t="s">
        <v>53</v>
      </c>
      <c r="D245" s="501">
        <v>41166</v>
      </c>
      <c r="E245" s="502">
        <v>5970</v>
      </c>
      <c r="F245" s="503">
        <v>0.72499999999999998</v>
      </c>
      <c r="G245" s="504">
        <f t="shared" ref="G245:G251" si="46">SUM(E245*F245)</f>
        <v>4328.25</v>
      </c>
      <c r="H245" s="516"/>
      <c r="I245" s="551">
        <v>41304</v>
      </c>
      <c r="J245" s="503">
        <v>0.96</v>
      </c>
      <c r="K245" s="507">
        <f t="shared" ref="K245:K251" si="47">SUM(E245*J245)</f>
        <v>5731.2</v>
      </c>
      <c r="L245" s="508">
        <f t="shared" si="45"/>
        <v>1402.9499999999998</v>
      </c>
      <c r="M245" s="483">
        <v>1.0473699999999999</v>
      </c>
      <c r="N245" s="509">
        <f t="shared" ref="N245:N251" si="48">SUM(L245*M245)</f>
        <v>1469.4077414999997</v>
      </c>
      <c r="O245" s="377"/>
      <c r="P245" s="124"/>
    </row>
    <row r="246" spans="1:16" s="119" customFormat="1" ht="15" customHeight="1" x14ac:dyDescent="0.25">
      <c r="A246" s="511" t="s">
        <v>398</v>
      </c>
      <c r="B246" s="511" t="s">
        <v>274</v>
      </c>
      <c r="C246" s="511" t="s">
        <v>78</v>
      </c>
      <c r="D246" s="512">
        <v>41246</v>
      </c>
      <c r="E246" s="513">
        <v>12500</v>
      </c>
      <c r="F246" s="514">
        <v>1.23</v>
      </c>
      <c r="G246" s="515">
        <f t="shared" si="46"/>
        <v>15375</v>
      </c>
      <c r="H246" s="516"/>
      <c r="I246" s="512">
        <v>41304</v>
      </c>
      <c r="J246" s="514">
        <v>1.24</v>
      </c>
      <c r="K246" s="518">
        <f t="shared" si="47"/>
        <v>15500</v>
      </c>
      <c r="L246" s="519">
        <f>SUM(G246-K246)</f>
        <v>-125</v>
      </c>
      <c r="M246" s="520">
        <v>1.0473699999999999</v>
      </c>
      <c r="N246" s="521">
        <f t="shared" si="48"/>
        <v>-130.92124999999999</v>
      </c>
      <c r="O246" s="377"/>
      <c r="P246" s="124"/>
    </row>
    <row r="247" spans="1:16" s="119" customFormat="1" ht="15" customHeight="1" x14ac:dyDescent="0.25">
      <c r="A247" s="500" t="s">
        <v>847</v>
      </c>
      <c r="B247" s="500" t="s">
        <v>454</v>
      </c>
      <c r="C247" s="500" t="s">
        <v>53</v>
      </c>
      <c r="D247" s="501">
        <v>41283</v>
      </c>
      <c r="E247" s="502">
        <v>8333</v>
      </c>
      <c r="F247" s="503">
        <v>4.1849999999999996</v>
      </c>
      <c r="G247" s="504">
        <f t="shared" si="46"/>
        <v>34873.604999999996</v>
      </c>
      <c r="H247" s="516"/>
      <c r="I247" s="588">
        <v>41309</v>
      </c>
      <c r="J247" s="503">
        <v>4.4000000000000004</v>
      </c>
      <c r="K247" s="507">
        <f t="shared" si="47"/>
        <v>36665.200000000004</v>
      </c>
      <c r="L247" s="508">
        <f t="shared" ref="L247:L253" si="49">SUM(K247-G247)</f>
        <v>1791.5950000000084</v>
      </c>
      <c r="M247" s="483">
        <v>1.04148</v>
      </c>
      <c r="N247" s="509">
        <f t="shared" si="48"/>
        <v>1865.9103606000087</v>
      </c>
      <c r="O247" s="377"/>
      <c r="P247" s="124"/>
    </row>
    <row r="248" spans="1:16" s="119" customFormat="1" ht="15" customHeight="1" x14ac:dyDescent="0.25">
      <c r="A248" s="500" t="s">
        <v>442</v>
      </c>
      <c r="B248" s="500" t="s">
        <v>443</v>
      </c>
      <c r="C248" s="500" t="s">
        <v>53</v>
      </c>
      <c r="D248" s="501">
        <v>41288</v>
      </c>
      <c r="E248" s="502">
        <v>4054</v>
      </c>
      <c r="F248" s="503">
        <v>3.2050000000000001</v>
      </c>
      <c r="G248" s="504">
        <f t="shared" si="46"/>
        <v>12993.07</v>
      </c>
      <c r="H248" s="516"/>
      <c r="I248" s="588">
        <v>41309</v>
      </c>
      <c r="J248" s="503">
        <v>2.835</v>
      </c>
      <c r="K248" s="507">
        <f t="shared" si="47"/>
        <v>11493.09</v>
      </c>
      <c r="L248" s="508">
        <f t="shared" si="49"/>
        <v>-1499.9799999999996</v>
      </c>
      <c r="M248" s="483">
        <v>1.04148</v>
      </c>
      <c r="N248" s="509">
        <f t="shared" si="48"/>
        <v>-1562.1991703999995</v>
      </c>
      <c r="O248" s="377"/>
      <c r="P248" s="124"/>
    </row>
    <row r="249" spans="1:16" s="119" customFormat="1" ht="15" customHeight="1" x14ac:dyDescent="0.25">
      <c r="A249" s="500" t="s">
        <v>235</v>
      </c>
      <c r="B249" s="500" t="s">
        <v>236</v>
      </c>
      <c r="C249" s="500" t="s">
        <v>53</v>
      </c>
      <c r="D249" s="501">
        <v>41283</v>
      </c>
      <c r="E249" s="502">
        <v>16667</v>
      </c>
      <c r="F249" s="503">
        <v>1.04</v>
      </c>
      <c r="G249" s="504">
        <f t="shared" si="46"/>
        <v>17333.68</v>
      </c>
      <c r="H249" s="516"/>
      <c r="I249" s="588">
        <v>41311</v>
      </c>
      <c r="J249" s="503">
        <v>1.0269999999999999</v>
      </c>
      <c r="K249" s="507">
        <f t="shared" si="47"/>
        <v>17117.008999999998</v>
      </c>
      <c r="L249" s="508">
        <f t="shared" si="49"/>
        <v>-216.6710000000021</v>
      </c>
      <c r="M249" s="483">
        <v>1.03878</v>
      </c>
      <c r="N249" s="509">
        <f t="shared" si="48"/>
        <v>-225.0735013800022</v>
      </c>
      <c r="O249" s="377"/>
      <c r="P249" s="124"/>
    </row>
    <row r="250" spans="1:16" s="117" customFormat="1" ht="15" customHeight="1" x14ac:dyDescent="0.25">
      <c r="A250" s="14" t="s">
        <v>975</v>
      </c>
      <c r="B250" s="500" t="s">
        <v>219</v>
      </c>
      <c r="C250" s="500" t="s">
        <v>53</v>
      </c>
      <c r="D250" s="501">
        <v>41316</v>
      </c>
      <c r="E250" s="502">
        <v>8500</v>
      </c>
      <c r="F250" s="503">
        <v>2.1800000000000002</v>
      </c>
      <c r="G250" s="504">
        <f t="shared" si="46"/>
        <v>18530</v>
      </c>
      <c r="H250" s="505"/>
      <c r="I250" s="588">
        <v>41325</v>
      </c>
      <c r="J250" s="503">
        <v>2.04</v>
      </c>
      <c r="K250" s="507">
        <f t="shared" si="47"/>
        <v>17340</v>
      </c>
      <c r="L250" s="508">
        <f t="shared" si="49"/>
        <v>-1190</v>
      </c>
      <c r="M250" s="483">
        <v>1.03548</v>
      </c>
      <c r="N250" s="509">
        <f t="shared" si="48"/>
        <v>-1232.2212</v>
      </c>
      <c r="O250" s="378"/>
      <c r="P250" s="123"/>
    </row>
    <row r="251" spans="1:16" s="117" customFormat="1" ht="15" customHeight="1" x14ac:dyDescent="0.25">
      <c r="A251" s="14" t="s">
        <v>419</v>
      </c>
      <c r="B251" s="500" t="s">
        <v>243</v>
      </c>
      <c r="C251" s="500" t="s">
        <v>53</v>
      </c>
      <c r="D251" s="501">
        <v>41323</v>
      </c>
      <c r="E251" s="502">
        <v>1293</v>
      </c>
      <c r="F251" s="503">
        <v>38.770000000000003</v>
      </c>
      <c r="G251" s="504">
        <f t="shared" si="46"/>
        <v>50129.61</v>
      </c>
      <c r="H251" s="505"/>
      <c r="I251" s="506" t="s">
        <v>1039</v>
      </c>
      <c r="J251" s="503">
        <v>37.61</v>
      </c>
      <c r="K251" s="507">
        <f t="shared" si="47"/>
        <v>48629.729999999996</v>
      </c>
      <c r="L251" s="508">
        <f t="shared" si="49"/>
        <v>-1499.8800000000047</v>
      </c>
      <c r="M251" s="483">
        <v>1.0255099999999999</v>
      </c>
      <c r="N251" s="509">
        <f t="shared" si="48"/>
        <v>-1538.1419388000047</v>
      </c>
      <c r="O251" s="378"/>
      <c r="P251" s="123"/>
    </row>
    <row r="252" spans="1:16" s="119" customFormat="1" ht="15" customHeight="1" x14ac:dyDescent="0.25">
      <c r="A252" s="500" t="s">
        <v>845</v>
      </c>
      <c r="B252" s="500" t="s">
        <v>846</v>
      </c>
      <c r="C252" s="500" t="s">
        <v>53</v>
      </c>
      <c r="D252" s="501">
        <v>41239</v>
      </c>
      <c r="E252" s="502">
        <v>33335</v>
      </c>
      <c r="F252" s="503">
        <v>0.19500000000000001</v>
      </c>
      <c r="G252" s="504">
        <f t="shared" ref="G252:G258" si="50">SUM(E252*F252)</f>
        <v>6500.3249999999998</v>
      </c>
      <c r="H252" s="516"/>
      <c r="I252" s="588">
        <v>41330</v>
      </c>
      <c r="J252" s="503">
        <v>0.21379999999999999</v>
      </c>
      <c r="K252" s="507">
        <f t="shared" ref="K252:K258" si="51">SUM(E252*J252)</f>
        <v>7127.0229999999992</v>
      </c>
      <c r="L252" s="508">
        <f t="shared" si="49"/>
        <v>626.69799999999941</v>
      </c>
      <c r="M252" s="483">
        <v>1.0301400000000001</v>
      </c>
      <c r="N252" s="509">
        <f t="shared" ref="N252:N258" si="52">SUM(L252*M252)</f>
        <v>645.58667771999944</v>
      </c>
      <c r="O252" s="377"/>
      <c r="P252" s="124"/>
    </row>
    <row r="253" spans="1:16" s="117" customFormat="1" ht="15" customHeight="1" x14ac:dyDescent="0.25">
      <c r="A253" s="14" t="s">
        <v>329</v>
      </c>
      <c r="B253" s="500" t="s">
        <v>330</v>
      </c>
      <c r="C253" s="500" t="s">
        <v>53</v>
      </c>
      <c r="D253" s="501">
        <v>41326</v>
      </c>
      <c r="E253" s="502">
        <v>18750</v>
      </c>
      <c r="F253" s="503">
        <v>1.65</v>
      </c>
      <c r="G253" s="504">
        <f t="shared" si="50"/>
        <v>30937.5</v>
      </c>
      <c r="H253" s="505"/>
      <c r="I253" s="588">
        <v>41332</v>
      </c>
      <c r="J253" s="503">
        <v>1.57</v>
      </c>
      <c r="K253" s="507">
        <f t="shared" si="51"/>
        <v>29437.5</v>
      </c>
      <c r="L253" s="508">
        <f t="shared" si="49"/>
        <v>-1500</v>
      </c>
      <c r="M253" s="483">
        <v>1.02277</v>
      </c>
      <c r="N253" s="509">
        <f t="shared" si="52"/>
        <v>-1534.155</v>
      </c>
      <c r="O253" s="378"/>
      <c r="P253" s="123"/>
    </row>
    <row r="254" spans="1:16" s="119" customFormat="1" ht="15" customHeight="1" x14ac:dyDescent="0.25">
      <c r="A254" s="510" t="s">
        <v>978</v>
      </c>
      <c r="B254" s="511" t="s">
        <v>979</v>
      </c>
      <c r="C254" s="511" t="s">
        <v>78</v>
      </c>
      <c r="D254" s="512">
        <v>41317</v>
      </c>
      <c r="E254" s="513">
        <v>10000</v>
      </c>
      <c r="F254" s="514">
        <v>0.73299999999999998</v>
      </c>
      <c r="G254" s="515">
        <f t="shared" si="50"/>
        <v>7330</v>
      </c>
      <c r="H254" s="516"/>
      <c r="I254" s="512">
        <v>41344</v>
      </c>
      <c r="J254" s="514">
        <v>0.72699999999999998</v>
      </c>
      <c r="K254" s="518">
        <f t="shared" si="51"/>
        <v>7270</v>
      </c>
      <c r="L254" s="519">
        <f>SUM(G254-K254)</f>
        <v>60</v>
      </c>
      <c r="M254" s="520">
        <v>1.0202899999999999</v>
      </c>
      <c r="N254" s="509">
        <f t="shared" si="52"/>
        <v>61.217399999999998</v>
      </c>
      <c r="O254" s="377"/>
      <c r="P254" s="124"/>
    </row>
    <row r="255" spans="1:16" s="117" customFormat="1" ht="15" customHeight="1" x14ac:dyDescent="0.25">
      <c r="A255" s="14" t="s">
        <v>1013</v>
      </c>
      <c r="B255" s="500" t="s">
        <v>1014</v>
      </c>
      <c r="C255" s="500" t="s">
        <v>53</v>
      </c>
      <c r="D255" s="501">
        <v>41324</v>
      </c>
      <c r="E255" s="502">
        <v>3061</v>
      </c>
      <c r="F255" s="503">
        <v>7.06</v>
      </c>
      <c r="G255" s="504">
        <f t="shared" si="50"/>
        <v>21610.66</v>
      </c>
      <c r="H255" s="505"/>
      <c r="I255" s="588">
        <v>41345</v>
      </c>
      <c r="J255" s="503">
        <v>6.57</v>
      </c>
      <c r="K255" s="507">
        <f t="shared" si="51"/>
        <v>20110.77</v>
      </c>
      <c r="L255" s="508">
        <f>SUM(K255-G255)</f>
        <v>-1499.8899999999994</v>
      </c>
      <c r="M255" s="483">
        <v>1.0279799999999999</v>
      </c>
      <c r="N255" s="509">
        <f t="shared" si="52"/>
        <v>-1541.8569221999992</v>
      </c>
      <c r="O255" s="378"/>
      <c r="P255" s="123"/>
    </row>
    <row r="256" spans="1:16" s="119" customFormat="1" ht="15" customHeight="1" x14ac:dyDescent="0.25">
      <c r="A256" s="500" t="s">
        <v>842</v>
      </c>
      <c r="B256" s="500" t="s">
        <v>843</v>
      </c>
      <c r="C256" s="500" t="s">
        <v>53</v>
      </c>
      <c r="D256" s="501">
        <v>41109</v>
      </c>
      <c r="E256" s="502">
        <v>2343</v>
      </c>
      <c r="F256" s="503">
        <v>27.62</v>
      </c>
      <c r="G256" s="504">
        <f t="shared" si="50"/>
        <v>64713.66</v>
      </c>
      <c r="H256" s="516"/>
      <c r="I256" s="588">
        <v>41351</v>
      </c>
      <c r="J256" s="503">
        <v>34.1</v>
      </c>
      <c r="K256" s="507">
        <f t="shared" si="51"/>
        <v>79896.3</v>
      </c>
      <c r="L256" s="508">
        <f>SUM(K256-G256)</f>
        <v>15182.64</v>
      </c>
      <c r="M256" s="483">
        <v>1.0352300000000001</v>
      </c>
      <c r="N256" s="509">
        <f t="shared" si="52"/>
        <v>15717.5244072</v>
      </c>
      <c r="O256" s="377"/>
      <c r="P256" s="124"/>
    </row>
    <row r="257" spans="1:21" s="117" customFormat="1" ht="15" customHeight="1" x14ac:dyDescent="0.25">
      <c r="A257" s="14" t="s">
        <v>960</v>
      </c>
      <c r="B257" s="500" t="s">
        <v>961</v>
      </c>
      <c r="C257" s="500" t="s">
        <v>53</v>
      </c>
      <c r="D257" s="501">
        <v>41313</v>
      </c>
      <c r="E257" s="502">
        <v>8333</v>
      </c>
      <c r="F257" s="503">
        <v>4.99</v>
      </c>
      <c r="G257" s="504">
        <f t="shared" si="50"/>
        <v>41581.67</v>
      </c>
      <c r="H257" s="505"/>
      <c r="I257" s="588">
        <v>41352</v>
      </c>
      <c r="J257" s="503">
        <v>5.3209999999999997</v>
      </c>
      <c r="K257" s="507">
        <f t="shared" si="51"/>
        <v>44339.892999999996</v>
      </c>
      <c r="L257" s="508">
        <f>SUM(K257-G257)</f>
        <v>2758.2229999999981</v>
      </c>
      <c r="M257" s="483">
        <v>1.0400700000000001</v>
      </c>
      <c r="N257" s="509">
        <f t="shared" si="52"/>
        <v>2868.7449956099981</v>
      </c>
      <c r="O257" s="378"/>
      <c r="P257" s="123"/>
    </row>
    <row r="258" spans="1:21" s="119" customFormat="1" ht="15" customHeight="1" x14ac:dyDescent="0.25">
      <c r="A258" s="500" t="s">
        <v>401</v>
      </c>
      <c r="B258" s="500" t="s">
        <v>402</v>
      </c>
      <c r="C258" s="500" t="s">
        <v>53</v>
      </c>
      <c r="D258" s="501">
        <v>41246</v>
      </c>
      <c r="E258" s="502">
        <v>1470</v>
      </c>
      <c r="F258" s="503">
        <v>32.25</v>
      </c>
      <c r="G258" s="504">
        <f t="shared" si="50"/>
        <v>47407.5</v>
      </c>
      <c r="H258" s="516"/>
      <c r="I258" s="588">
        <v>41353</v>
      </c>
      <c r="J258" s="503">
        <v>36.68</v>
      </c>
      <c r="K258" s="507">
        <f t="shared" si="51"/>
        <v>53919.6</v>
      </c>
      <c r="L258" s="508">
        <f>SUM(K258-G258)</f>
        <v>6512.0999999999985</v>
      </c>
      <c r="M258" s="483">
        <v>1.0368599999999999</v>
      </c>
      <c r="N258" s="509">
        <f t="shared" si="52"/>
        <v>6752.1360059999979</v>
      </c>
      <c r="O258" s="377"/>
      <c r="P258" s="124"/>
    </row>
    <row r="259" spans="1:21" s="117" customFormat="1" ht="15" customHeight="1" x14ac:dyDescent="0.25">
      <c r="A259" s="14" t="s">
        <v>244</v>
      </c>
      <c r="B259" s="500" t="s">
        <v>245</v>
      </c>
      <c r="C259" s="500" t="s">
        <v>53</v>
      </c>
      <c r="D259" s="501">
        <v>41320</v>
      </c>
      <c r="E259" s="502">
        <v>1363</v>
      </c>
      <c r="F259" s="503">
        <v>36.69</v>
      </c>
      <c r="G259" s="504">
        <f>SUM(E259*F259)</f>
        <v>50008.469999999994</v>
      </c>
      <c r="H259" s="505"/>
      <c r="I259" s="588">
        <v>41368</v>
      </c>
      <c r="J259" s="503">
        <v>35.590000000000003</v>
      </c>
      <c r="K259" s="507">
        <f>SUM(E259*J259)</f>
        <v>48509.170000000006</v>
      </c>
      <c r="L259" s="508">
        <f>SUM(K259-G259)</f>
        <v>-1499.2999999999884</v>
      </c>
      <c r="M259" s="483">
        <v>1.046</v>
      </c>
      <c r="N259" s="509">
        <f>SUM(L259*M259)</f>
        <v>-1568.2677999999878</v>
      </c>
      <c r="O259" s="378"/>
      <c r="P259" s="123"/>
    </row>
    <row r="260" spans="1:21" s="117" customFormat="1" ht="15" customHeight="1" x14ac:dyDescent="0.25">
      <c r="A260" s="14" t="s">
        <v>928</v>
      </c>
      <c r="B260" s="500" t="s">
        <v>929</v>
      </c>
      <c r="C260" s="500"/>
      <c r="D260" s="501">
        <v>41368</v>
      </c>
      <c r="E260" s="502">
        <v>12500</v>
      </c>
      <c r="F260" s="503">
        <v>0.09</v>
      </c>
      <c r="G260" s="504">
        <f>SUM(E260*F260)</f>
        <v>1125</v>
      </c>
      <c r="H260" s="505"/>
      <c r="I260" s="588">
        <v>41376</v>
      </c>
      <c r="J260" s="503">
        <v>0</v>
      </c>
      <c r="K260" s="507">
        <f>SUM(E260*J260)</f>
        <v>0</v>
      </c>
      <c r="L260" s="508">
        <f>G260</f>
        <v>1125</v>
      </c>
      <c r="M260" s="483">
        <v>1.05433</v>
      </c>
      <c r="N260" s="509">
        <f>L260</f>
        <v>1125</v>
      </c>
      <c r="O260" s="378" t="s">
        <v>1144</v>
      </c>
      <c r="P260" s="123"/>
    </row>
    <row r="261" spans="1:21" s="117" customFormat="1" ht="15" customHeight="1" x14ac:dyDescent="0.25">
      <c r="A261" s="14" t="s">
        <v>928</v>
      </c>
      <c r="B261" s="500" t="s">
        <v>929</v>
      </c>
      <c r="C261" s="500" t="s">
        <v>53</v>
      </c>
      <c r="D261" s="501">
        <v>41362</v>
      </c>
      <c r="E261" s="502">
        <v>12500</v>
      </c>
      <c r="F261" s="503">
        <v>0.52500000000000002</v>
      </c>
      <c r="G261" s="504">
        <f>SUM(E261*F261)</f>
        <v>6562.5</v>
      </c>
      <c r="H261" s="505"/>
      <c r="I261" s="588">
        <v>41376</v>
      </c>
      <c r="J261" s="503">
        <v>0.60680000000000001</v>
      </c>
      <c r="K261" s="507">
        <f>SUM(E261*J261)</f>
        <v>7585</v>
      </c>
      <c r="L261" s="508">
        <f>SUM(K261-G261)</f>
        <v>1022.5</v>
      </c>
      <c r="M261" s="483">
        <v>1.05433</v>
      </c>
      <c r="N261" s="484">
        <f>SUM(L261*M261)</f>
        <v>1078.0524250000001</v>
      </c>
      <c r="O261" s="378"/>
      <c r="P261" s="123"/>
    </row>
    <row r="262" spans="1:21" s="117" customFormat="1" ht="15" customHeight="1" x14ac:dyDescent="0.25">
      <c r="A262" s="14" t="s">
        <v>228</v>
      </c>
      <c r="B262" s="500" t="s">
        <v>229</v>
      </c>
      <c r="C262" s="500" t="s">
        <v>53</v>
      </c>
      <c r="D262" s="501">
        <v>41348</v>
      </c>
      <c r="E262" s="502">
        <v>6000</v>
      </c>
      <c r="F262" s="503">
        <v>5.33</v>
      </c>
      <c r="G262" s="504">
        <f>SUM(E262*F262)</f>
        <v>31980</v>
      </c>
      <c r="H262" s="505"/>
      <c r="I262" s="588">
        <v>41381</v>
      </c>
      <c r="J262" s="503">
        <v>5.3419999999999996</v>
      </c>
      <c r="K262" s="507">
        <f>SUM(E262*J262)</f>
        <v>32051.999999999996</v>
      </c>
      <c r="L262" s="508">
        <f>SUM(K262-G262)</f>
        <v>71.999999999996362</v>
      </c>
      <c r="M262" s="483">
        <v>1.03891</v>
      </c>
      <c r="N262" s="509">
        <f>SUM(L262*M262)</f>
        <v>74.801519999996216</v>
      </c>
      <c r="O262" s="378"/>
      <c r="P262" s="123"/>
    </row>
    <row r="263" spans="1:21" s="119" customFormat="1" ht="15" customHeight="1" x14ac:dyDescent="0.25">
      <c r="A263" s="510" t="s">
        <v>1115</v>
      </c>
      <c r="B263" s="511" t="s">
        <v>1116</v>
      </c>
      <c r="C263" s="511" t="s">
        <v>78</v>
      </c>
      <c r="D263" s="512">
        <v>41355</v>
      </c>
      <c r="E263" s="513">
        <v>469</v>
      </c>
      <c r="F263" s="514">
        <v>67.099999999999994</v>
      </c>
      <c r="G263" s="515">
        <f>SUM(E263*F263)</f>
        <v>31469.899999999998</v>
      </c>
      <c r="H263" s="516"/>
      <c r="I263" s="512">
        <v>41388</v>
      </c>
      <c r="J263" s="514">
        <v>66</v>
      </c>
      <c r="K263" s="518">
        <f>SUM(E263*J263)</f>
        <v>30954</v>
      </c>
      <c r="L263" s="519">
        <f>SUM(G263-K263)</f>
        <v>515.89999999999782</v>
      </c>
      <c r="M263" s="520">
        <v>1.02583</v>
      </c>
      <c r="N263" s="521">
        <f>SUM(L263*M263)</f>
        <v>529.22569699999781</v>
      </c>
      <c r="O263" s="377"/>
      <c r="P263" s="124"/>
    </row>
    <row r="264" spans="1:21" s="119" customFormat="1" ht="15" customHeight="1" x14ac:dyDescent="0.25">
      <c r="A264" s="500" t="s">
        <v>840</v>
      </c>
      <c r="B264" s="500" t="s">
        <v>841</v>
      </c>
      <c r="C264" s="500" t="s">
        <v>53</v>
      </c>
      <c r="D264" s="501">
        <v>41066</v>
      </c>
      <c r="E264" s="502">
        <v>974</v>
      </c>
      <c r="F264" s="503">
        <v>38.74</v>
      </c>
      <c r="G264" s="504">
        <f t="shared" ref="G264:G267" si="53">SUM(E264*F264)</f>
        <v>37732.76</v>
      </c>
      <c r="H264" s="516"/>
      <c r="I264" s="512">
        <v>41432</v>
      </c>
      <c r="J264" s="500">
        <v>57.82</v>
      </c>
      <c r="K264" s="507">
        <f t="shared" ref="K264:K267" si="54">SUM(E264*J264)</f>
        <v>56316.68</v>
      </c>
      <c r="L264" s="508">
        <f t="shared" ref="L264:L267" si="55">SUM(K264-G264)</f>
        <v>18583.919999999998</v>
      </c>
      <c r="M264" s="483">
        <v>0.95945999999999998</v>
      </c>
      <c r="N264" s="509">
        <f>SUM(L264*M264)</f>
        <v>17830.527883199997</v>
      </c>
      <c r="O264" s="377"/>
      <c r="P264" s="124"/>
    </row>
    <row r="265" spans="1:21" s="119" customFormat="1" ht="15" customHeight="1" x14ac:dyDescent="0.25">
      <c r="A265" s="500" t="s">
        <v>844</v>
      </c>
      <c r="B265" s="500" t="s">
        <v>452</v>
      </c>
      <c r="C265" s="500" t="s">
        <v>53</v>
      </c>
      <c r="D265" s="501">
        <v>41218</v>
      </c>
      <c r="E265" s="502">
        <v>1020</v>
      </c>
      <c r="F265" s="503">
        <v>28.69</v>
      </c>
      <c r="G265" s="504">
        <f t="shared" si="53"/>
        <v>29263.800000000003</v>
      </c>
      <c r="H265" s="516"/>
      <c r="I265" s="512">
        <v>41432</v>
      </c>
      <c r="J265" s="500">
        <v>38.96</v>
      </c>
      <c r="K265" s="507">
        <f t="shared" si="54"/>
        <v>39739.200000000004</v>
      </c>
      <c r="L265" s="508">
        <f t="shared" si="55"/>
        <v>10475.400000000001</v>
      </c>
      <c r="M265" s="483">
        <v>0.95945999999999998</v>
      </c>
      <c r="N265" s="509">
        <f t="shared" ref="N265:N267" si="56">SUM(L265*M265)</f>
        <v>10050.727284000001</v>
      </c>
      <c r="O265" s="377"/>
      <c r="P265" s="124"/>
    </row>
    <row r="266" spans="1:21" s="119" customFormat="1" ht="15" customHeight="1" x14ac:dyDescent="0.25">
      <c r="A266" s="500" t="s">
        <v>432</v>
      </c>
      <c r="B266" s="500" t="s">
        <v>433</v>
      </c>
      <c r="C266" s="500" t="s">
        <v>53</v>
      </c>
      <c r="D266" s="501">
        <v>41221</v>
      </c>
      <c r="E266" s="502">
        <v>1042</v>
      </c>
      <c r="F266" s="503">
        <v>58.77</v>
      </c>
      <c r="G266" s="504">
        <f t="shared" si="53"/>
        <v>61238.340000000004</v>
      </c>
      <c r="H266" s="516"/>
      <c r="I266" s="512">
        <v>41418</v>
      </c>
      <c r="J266" s="500">
        <v>68.86</v>
      </c>
      <c r="K266" s="507">
        <f t="shared" si="54"/>
        <v>71752.12</v>
      </c>
      <c r="L266" s="508">
        <f t="shared" si="55"/>
        <v>10513.779999999992</v>
      </c>
      <c r="M266" s="483">
        <v>0.97467000000000004</v>
      </c>
      <c r="N266" s="509">
        <f t="shared" si="56"/>
        <v>10247.465952599992</v>
      </c>
      <c r="O266" s="377"/>
      <c r="P266" s="124"/>
    </row>
    <row r="267" spans="1:21" s="117" customFormat="1" ht="15" customHeight="1" x14ac:dyDescent="0.25">
      <c r="A267" s="14" t="s">
        <v>280</v>
      </c>
      <c r="B267" s="500" t="s">
        <v>11</v>
      </c>
      <c r="C267" s="500" t="s">
        <v>53</v>
      </c>
      <c r="D267" s="501">
        <v>41313</v>
      </c>
      <c r="E267" s="502">
        <v>12500</v>
      </c>
      <c r="F267" s="503">
        <v>3.18</v>
      </c>
      <c r="G267" s="504">
        <f t="shared" si="53"/>
        <v>39750</v>
      </c>
      <c r="H267" s="505"/>
      <c r="I267" s="512">
        <v>41418</v>
      </c>
      <c r="J267" s="500">
        <v>3.4449999999999998</v>
      </c>
      <c r="K267" s="507">
        <f t="shared" si="54"/>
        <v>43062.5</v>
      </c>
      <c r="L267" s="508">
        <f t="shared" si="55"/>
        <v>3312.5</v>
      </c>
      <c r="M267" s="483">
        <v>0.97467000000000004</v>
      </c>
      <c r="N267" s="509">
        <f t="shared" si="56"/>
        <v>3228.5943750000001</v>
      </c>
      <c r="O267" s="378"/>
      <c r="P267" s="123"/>
    </row>
    <row r="268" spans="1:21" s="117" customFormat="1" ht="15" customHeight="1" x14ac:dyDescent="0.25">
      <c r="A268" s="14" t="s">
        <v>198</v>
      </c>
      <c r="B268" s="500" t="s">
        <v>155</v>
      </c>
      <c r="C268" s="500" t="s">
        <v>53</v>
      </c>
      <c r="D268" s="501">
        <v>41369</v>
      </c>
      <c r="E268" s="502">
        <v>12500</v>
      </c>
      <c r="F268" s="503">
        <v>3.6</v>
      </c>
      <c r="G268" s="504">
        <f>SUM(E268*F268)</f>
        <v>45000</v>
      </c>
      <c r="H268" s="505"/>
      <c r="I268" s="512">
        <v>41422</v>
      </c>
      <c r="J268" s="500">
        <v>3.4</v>
      </c>
      <c r="K268" s="507">
        <f>SUM(E268*J268)</f>
        <v>42500</v>
      </c>
      <c r="L268" s="508">
        <f>SUM(K268-G268)</f>
        <v>-2500</v>
      </c>
      <c r="M268" s="483">
        <v>0.96318000000000004</v>
      </c>
      <c r="N268" s="509">
        <f>SUM(L268*M268)</f>
        <v>-2407.9500000000003</v>
      </c>
      <c r="O268" s="378"/>
      <c r="P268" s="123"/>
    </row>
    <row r="269" spans="1:21" s="119" customFormat="1" ht="15" customHeight="1" x14ac:dyDescent="0.25">
      <c r="A269" s="500" t="s">
        <v>145</v>
      </c>
      <c r="B269" s="500" t="s">
        <v>309</v>
      </c>
      <c r="C269" s="500" t="s">
        <v>78</v>
      </c>
      <c r="D269" s="589">
        <v>41401</v>
      </c>
      <c r="E269" s="590">
        <v>7117</v>
      </c>
      <c r="F269" s="503">
        <v>1.577</v>
      </c>
      <c r="G269" s="504">
        <f t="shared" ref="G269:G274" si="57">SUM(E269*F269)</f>
        <v>11223.509</v>
      </c>
      <c r="H269" s="503"/>
      <c r="I269" s="589">
        <v>41466</v>
      </c>
      <c r="J269" s="500">
        <v>1.19</v>
      </c>
      <c r="K269" s="518">
        <f t="shared" ref="K269:K270" si="58">SUM(E269*J269)</f>
        <v>8469.23</v>
      </c>
      <c r="L269" s="519">
        <f t="shared" ref="L269:L270" si="59">SUM(G269-K269)</f>
        <v>2754.2790000000005</v>
      </c>
      <c r="M269" s="520">
        <v>0.91752</v>
      </c>
      <c r="N269" s="521">
        <f t="shared" ref="N269:N270" si="60">SUM(L269*M269)</f>
        <v>2527.1060680800006</v>
      </c>
      <c r="O269" s="379"/>
      <c r="P269" s="336" t="s">
        <v>3</v>
      </c>
      <c r="Q269" s="332"/>
      <c r="R269" s="332"/>
      <c r="S269" s="332"/>
      <c r="T269" s="332"/>
      <c r="U269" s="332"/>
    </row>
    <row r="270" spans="1:21" s="119" customFormat="1" ht="15" customHeight="1" x14ac:dyDescent="0.25">
      <c r="A270" s="500" t="s">
        <v>1250</v>
      </c>
      <c r="B270" s="500" t="s">
        <v>1251</v>
      </c>
      <c r="C270" s="500" t="s">
        <v>78</v>
      </c>
      <c r="D270" s="589">
        <v>41418</v>
      </c>
      <c r="E270" s="591">
        <v>11634</v>
      </c>
      <c r="F270" s="503">
        <v>1.135</v>
      </c>
      <c r="G270" s="504">
        <f t="shared" si="57"/>
        <v>13204.59</v>
      </c>
      <c r="H270" s="503"/>
      <c r="I270" s="589">
        <v>41466</v>
      </c>
      <c r="J270" s="500">
        <v>0.98899999999999999</v>
      </c>
      <c r="K270" s="518">
        <f t="shared" si="58"/>
        <v>11506.026</v>
      </c>
      <c r="L270" s="519">
        <f t="shared" si="59"/>
        <v>1698.5640000000003</v>
      </c>
      <c r="M270" s="520">
        <v>0.91752</v>
      </c>
      <c r="N270" s="521">
        <f t="shared" si="60"/>
        <v>1558.4664412800003</v>
      </c>
      <c r="O270" s="379"/>
      <c r="P270" s="336" t="s">
        <v>3</v>
      </c>
      <c r="Q270" s="332"/>
      <c r="R270" s="332"/>
      <c r="S270" s="332"/>
      <c r="T270" s="332"/>
      <c r="U270" s="332"/>
    </row>
    <row r="271" spans="1:21" s="119" customFormat="1" ht="15" customHeight="1" x14ac:dyDescent="0.25">
      <c r="A271" s="500" t="s">
        <v>1252</v>
      </c>
      <c r="B271" s="500" t="s">
        <v>294</v>
      </c>
      <c r="C271" s="500" t="s">
        <v>53</v>
      </c>
      <c r="D271" s="589">
        <v>41421</v>
      </c>
      <c r="E271" s="591">
        <v>5500</v>
      </c>
      <c r="F271" s="503">
        <v>5.35</v>
      </c>
      <c r="G271" s="504">
        <f t="shared" si="57"/>
        <v>29424.999999999996</v>
      </c>
      <c r="H271" s="503"/>
      <c r="I271" s="589">
        <v>41428</v>
      </c>
      <c r="J271" s="500">
        <v>4.91</v>
      </c>
      <c r="K271" s="507">
        <f>SUM(E271*J271)</f>
        <v>27005</v>
      </c>
      <c r="L271" s="508">
        <f>SUM(K271-G271)</f>
        <v>-2419.9999999999964</v>
      </c>
      <c r="M271" s="483">
        <v>0.96060999999999996</v>
      </c>
      <c r="N271" s="509">
        <f>SUM(L271*M271)</f>
        <v>-2324.6761999999962</v>
      </c>
      <c r="O271" s="379"/>
      <c r="P271" s="336" t="s">
        <v>3</v>
      </c>
      <c r="Q271" s="332"/>
      <c r="R271" s="332"/>
      <c r="S271" s="332"/>
      <c r="T271" s="332"/>
      <c r="U271" s="332"/>
    </row>
    <row r="272" spans="1:21" s="119" customFormat="1" ht="15" customHeight="1" x14ac:dyDescent="0.25">
      <c r="A272" s="500" t="s">
        <v>1253</v>
      </c>
      <c r="B272" s="500" t="s">
        <v>406</v>
      </c>
      <c r="C272" s="500" t="s">
        <v>78</v>
      </c>
      <c r="D272" s="589">
        <v>41435</v>
      </c>
      <c r="E272" s="591">
        <v>3967</v>
      </c>
      <c r="F272" s="503">
        <v>12.414999999999999</v>
      </c>
      <c r="G272" s="504">
        <f t="shared" si="57"/>
        <v>49250.304999999993</v>
      </c>
      <c r="H272" s="503"/>
      <c r="I272" s="589">
        <v>41473</v>
      </c>
      <c r="J272" s="500">
        <v>13.025</v>
      </c>
      <c r="K272" s="518">
        <f t="shared" ref="K272:K273" si="61">SUM(E272*J272)</f>
        <v>51670.175000000003</v>
      </c>
      <c r="L272" s="519">
        <f t="shared" ref="L272:L273" si="62">SUM(G272-K272)</f>
        <v>-2419.8700000000099</v>
      </c>
      <c r="M272" s="520">
        <v>0.95450000000000002</v>
      </c>
      <c r="N272" s="521">
        <f t="shared" ref="N272:N273" si="63">SUM(L272*M272)</f>
        <v>-2309.7659150000095</v>
      </c>
      <c r="O272" s="379"/>
      <c r="P272" s="336" t="s">
        <v>3</v>
      </c>
      <c r="Q272" s="332"/>
      <c r="R272" s="332"/>
      <c r="S272" s="332"/>
      <c r="T272" s="332"/>
      <c r="U272" s="332"/>
    </row>
    <row r="273" spans="1:21" s="119" customFormat="1" ht="15" customHeight="1" x14ac:dyDescent="0.25">
      <c r="A273" s="500" t="s">
        <v>280</v>
      </c>
      <c r="B273" s="500" t="s">
        <v>11</v>
      </c>
      <c r="C273" s="500" t="s">
        <v>78</v>
      </c>
      <c r="D273" s="589">
        <v>41450</v>
      </c>
      <c r="E273" s="591">
        <v>16133</v>
      </c>
      <c r="F273" s="503">
        <v>3.14</v>
      </c>
      <c r="G273" s="504">
        <f t="shared" si="57"/>
        <v>50657.62</v>
      </c>
      <c r="H273" s="503"/>
      <c r="I273" s="592">
        <v>41464</v>
      </c>
      <c r="J273" s="500">
        <v>3.26</v>
      </c>
      <c r="K273" s="518">
        <f t="shared" si="61"/>
        <v>52593.579999999994</v>
      </c>
      <c r="L273" s="519">
        <f t="shared" si="62"/>
        <v>-1935.9599999999919</v>
      </c>
      <c r="M273" s="520">
        <v>0.91307000000000005</v>
      </c>
      <c r="N273" s="521">
        <f t="shared" si="63"/>
        <v>-1767.6669971999927</v>
      </c>
      <c r="O273" s="379"/>
      <c r="P273" s="336" t="s">
        <v>3</v>
      </c>
      <c r="Q273" s="332"/>
      <c r="R273" s="332"/>
      <c r="S273" s="332"/>
      <c r="T273" s="332"/>
      <c r="U273" s="332"/>
    </row>
    <row r="274" spans="1:21" s="119" customFormat="1" ht="15" customHeight="1" x14ac:dyDescent="0.25">
      <c r="A274" s="500" t="s">
        <v>352</v>
      </c>
      <c r="B274" s="500" t="s">
        <v>219</v>
      </c>
      <c r="C274" s="500" t="s">
        <v>53</v>
      </c>
      <c r="D274" s="589">
        <v>41452</v>
      </c>
      <c r="E274" s="591">
        <v>17285</v>
      </c>
      <c r="F274" s="503">
        <v>2.2599999999999998</v>
      </c>
      <c r="G274" s="504">
        <f t="shared" si="57"/>
        <v>39064.1</v>
      </c>
      <c r="H274" s="503"/>
      <c r="I274" s="589">
        <v>41456</v>
      </c>
      <c r="J274" s="593">
        <v>2.1139999999999999</v>
      </c>
      <c r="K274" s="507">
        <f>SUM(E274*J274)</f>
        <v>36540.49</v>
      </c>
      <c r="L274" s="508">
        <f>SUM(K274-G274)</f>
        <v>-2523.6100000000006</v>
      </c>
      <c r="M274" s="483">
        <v>0.91132000000000002</v>
      </c>
      <c r="N274" s="509">
        <f>SUM(L274*M274)</f>
        <v>-2299.8162652000005</v>
      </c>
      <c r="O274" s="377"/>
      <c r="P274" s="336" t="s">
        <v>3</v>
      </c>
    </row>
    <row r="275" spans="1:21" s="119" customFormat="1" ht="15" customHeight="1" x14ac:dyDescent="0.25">
      <c r="A275" s="500" t="s">
        <v>1249</v>
      </c>
      <c r="B275" s="511" t="s">
        <v>200</v>
      </c>
      <c r="C275" s="511" t="s">
        <v>78</v>
      </c>
      <c r="D275" s="512">
        <v>41495</v>
      </c>
      <c r="E275" s="594">
        <v>8344</v>
      </c>
      <c r="F275" s="514">
        <v>4.2759999999999998</v>
      </c>
      <c r="G275" s="515">
        <f>SUM(E275*F275)</f>
        <v>35678.943999999996</v>
      </c>
      <c r="H275" s="516"/>
      <c r="I275" s="589">
        <v>41501</v>
      </c>
      <c r="J275" s="514">
        <v>4.5659999999999998</v>
      </c>
      <c r="K275" s="518">
        <f>SUM(E275*J275)</f>
        <v>38098.703999999998</v>
      </c>
      <c r="L275" s="519">
        <f>SUM(G275-K275)</f>
        <v>-2419.760000000002</v>
      </c>
      <c r="M275" s="520">
        <v>0.91207000000000005</v>
      </c>
      <c r="N275" s="521">
        <f>SUM(L275*M275)</f>
        <v>-2206.990503200002</v>
      </c>
      <c r="O275" s="377"/>
      <c r="P275" s="124"/>
    </row>
    <row r="276" spans="1:21" s="117" customFormat="1" ht="15" customHeight="1" x14ac:dyDescent="0.25">
      <c r="A276" s="500" t="s">
        <v>1248</v>
      </c>
      <c r="B276" s="500" t="s">
        <v>6</v>
      </c>
      <c r="C276" s="500" t="s">
        <v>53</v>
      </c>
      <c r="D276" s="589">
        <v>41492</v>
      </c>
      <c r="E276" s="591">
        <v>1728</v>
      </c>
      <c r="F276" s="503">
        <v>36.01</v>
      </c>
      <c r="G276" s="504">
        <f t="shared" ref="G276" si="64">SUM(E276*F276)</f>
        <v>62225.279999999999</v>
      </c>
      <c r="H276" s="503"/>
      <c r="I276" s="589">
        <v>41519</v>
      </c>
      <c r="J276" s="593">
        <v>34.72</v>
      </c>
      <c r="K276" s="507">
        <f t="shared" ref="K276" si="65">SUM(E276*J276)</f>
        <v>59996.159999999996</v>
      </c>
      <c r="L276" s="508">
        <f t="shared" ref="L276" si="66">SUM(K276-G276)</f>
        <v>-2229.1200000000026</v>
      </c>
      <c r="M276" s="483">
        <v>0.89429000000000003</v>
      </c>
      <c r="N276" s="509">
        <f>SUM(L276*M276)</f>
        <v>-1993.4797248000025</v>
      </c>
      <c r="O276" s="378"/>
      <c r="P276" s="123"/>
    </row>
    <row r="277" spans="1:21" s="117" customFormat="1" ht="15" customHeight="1" x14ac:dyDescent="0.25">
      <c r="A277" s="14" t="s">
        <v>1308</v>
      </c>
      <c r="B277" s="500" t="s">
        <v>249</v>
      </c>
      <c r="C277" s="500" t="s">
        <v>53</v>
      </c>
      <c r="D277" s="501">
        <v>41512</v>
      </c>
      <c r="E277" s="502">
        <v>28651</v>
      </c>
      <c r="F277" s="503">
        <v>1.407</v>
      </c>
      <c r="G277" s="504">
        <f t="shared" ref="G277:G283" si="67">SUM(E277*F277)</f>
        <v>40311.957000000002</v>
      </c>
      <c r="H277" s="505"/>
      <c r="I277" s="588">
        <v>41535</v>
      </c>
      <c r="J277" s="503">
        <v>1.3169999999999999</v>
      </c>
      <c r="K277" s="507">
        <f t="shared" ref="K277:K283" si="68">SUM(E277*J277)</f>
        <v>37733.366999999998</v>
      </c>
      <c r="L277" s="508">
        <f t="shared" ref="L277:L283" si="69">SUM(K277-G277)</f>
        <v>-2578.5900000000038</v>
      </c>
      <c r="M277" s="483">
        <v>0.93530000000000002</v>
      </c>
      <c r="N277" s="509">
        <f>SUM(L277*M277)</f>
        <v>-2411.7552270000037</v>
      </c>
      <c r="O277" s="378"/>
      <c r="P277" s="123"/>
    </row>
    <row r="278" spans="1:21" s="117" customFormat="1" ht="15" customHeight="1" x14ac:dyDescent="0.25">
      <c r="A278" s="14" t="s">
        <v>1371</v>
      </c>
      <c r="B278" s="500" t="s">
        <v>1372</v>
      </c>
      <c r="C278" s="500" t="s">
        <v>53</v>
      </c>
      <c r="D278" s="501">
        <v>41541</v>
      </c>
      <c r="E278" s="502">
        <v>3256</v>
      </c>
      <c r="F278" s="503">
        <v>13.78</v>
      </c>
      <c r="G278" s="504">
        <f t="shared" si="67"/>
        <v>44867.68</v>
      </c>
      <c r="H278" s="505"/>
      <c r="I278" s="588">
        <v>41548</v>
      </c>
      <c r="J278" s="503">
        <v>13.02</v>
      </c>
      <c r="K278" s="507">
        <f t="shared" si="68"/>
        <v>42393.119999999995</v>
      </c>
      <c r="L278" s="508">
        <f t="shared" si="69"/>
        <v>-2474.5600000000049</v>
      </c>
      <c r="M278" s="483">
        <v>0.93147999999999997</v>
      </c>
      <c r="N278" s="509">
        <f t="shared" ref="N278" si="70">SUM(L278*M278)</f>
        <v>-2305.0031488000045</v>
      </c>
      <c r="O278" s="378"/>
      <c r="P278" s="123"/>
    </row>
    <row r="279" spans="1:21" s="117" customFormat="1" ht="15" customHeight="1" x14ac:dyDescent="0.25">
      <c r="A279" s="14" t="s">
        <v>1340</v>
      </c>
      <c r="B279" s="500" t="s">
        <v>233</v>
      </c>
      <c r="C279" s="500" t="s">
        <v>53</v>
      </c>
      <c r="D279" s="501">
        <v>41530</v>
      </c>
      <c r="E279" s="502">
        <v>9407</v>
      </c>
      <c r="F279" s="503">
        <v>5.67</v>
      </c>
      <c r="G279" s="504">
        <f t="shared" si="67"/>
        <v>53337.69</v>
      </c>
      <c r="H279" s="505"/>
      <c r="I279" s="588">
        <v>41572</v>
      </c>
      <c r="J279" s="503">
        <v>5.39</v>
      </c>
      <c r="K279" s="507">
        <f t="shared" si="68"/>
        <v>50703.729999999996</v>
      </c>
      <c r="L279" s="508">
        <f t="shared" si="69"/>
        <v>-2633.9600000000064</v>
      </c>
      <c r="M279" s="483">
        <v>0.96220000000000006</v>
      </c>
      <c r="N279" s="509">
        <f t="shared" ref="N279:N284" si="71">SUM(L279*M279)</f>
        <v>-2534.3963120000062</v>
      </c>
      <c r="O279" s="378"/>
      <c r="P279" s="123"/>
    </row>
    <row r="280" spans="1:21" s="119" customFormat="1" ht="15" customHeight="1" x14ac:dyDescent="0.25">
      <c r="A280" s="14" t="s">
        <v>1441</v>
      </c>
      <c r="B280" s="500" t="s">
        <v>1440</v>
      </c>
      <c r="C280" s="500" t="s">
        <v>53</v>
      </c>
      <c r="D280" s="501">
        <v>41572</v>
      </c>
      <c r="E280" s="502">
        <v>4320</v>
      </c>
      <c r="F280" s="503">
        <v>14.86</v>
      </c>
      <c r="G280" s="504">
        <f t="shared" si="67"/>
        <v>64195.199999999997</v>
      </c>
      <c r="H280" s="505"/>
      <c r="I280" s="588">
        <v>41576</v>
      </c>
      <c r="J280" s="503">
        <v>14.22</v>
      </c>
      <c r="K280" s="507">
        <f t="shared" si="68"/>
        <v>61430.400000000001</v>
      </c>
      <c r="L280" s="508">
        <f t="shared" si="69"/>
        <v>-2764.7999999999956</v>
      </c>
      <c r="M280" s="483">
        <v>0.95720000000000005</v>
      </c>
      <c r="N280" s="509">
        <f t="shared" si="71"/>
        <v>-2646.4665599999958</v>
      </c>
      <c r="O280" s="377"/>
      <c r="P280" s="124"/>
    </row>
    <row r="281" spans="1:21" s="117" customFormat="1" ht="15" customHeight="1" x14ac:dyDescent="0.25">
      <c r="A281" s="14" t="s">
        <v>960</v>
      </c>
      <c r="B281" s="560" t="s">
        <v>961</v>
      </c>
      <c r="C281" s="560" t="s">
        <v>53</v>
      </c>
      <c r="D281" s="561">
        <v>41500</v>
      </c>
      <c r="E281" s="562">
        <v>8272</v>
      </c>
      <c r="F281" s="563">
        <v>5.41</v>
      </c>
      <c r="G281" s="504">
        <f t="shared" si="67"/>
        <v>44751.520000000004</v>
      </c>
      <c r="H281" s="505"/>
      <c r="I281" s="599">
        <v>41584</v>
      </c>
      <c r="J281" s="563">
        <v>5.64</v>
      </c>
      <c r="K281" s="507">
        <f t="shared" si="68"/>
        <v>46654.079999999994</v>
      </c>
      <c r="L281" s="508">
        <f t="shared" si="69"/>
        <v>1902.5599999999904</v>
      </c>
      <c r="M281" s="483">
        <v>0.91113999999999995</v>
      </c>
      <c r="N281" s="509">
        <f t="shared" si="71"/>
        <v>1733.4985183999911</v>
      </c>
      <c r="O281" s="378"/>
      <c r="P281" s="123"/>
    </row>
    <row r="282" spans="1:21" s="117" customFormat="1" ht="15" customHeight="1" x14ac:dyDescent="0.25">
      <c r="A282" s="14" t="s">
        <v>409</v>
      </c>
      <c r="B282" s="560" t="s">
        <v>410</v>
      </c>
      <c r="C282" s="560" t="s">
        <v>53</v>
      </c>
      <c r="D282" s="561">
        <v>41578</v>
      </c>
      <c r="E282" s="562">
        <v>10200</v>
      </c>
      <c r="F282" s="563">
        <v>5.08</v>
      </c>
      <c r="G282" s="504">
        <f t="shared" si="67"/>
        <v>51816</v>
      </c>
      <c r="H282" s="505"/>
      <c r="I282" s="599">
        <v>41584</v>
      </c>
      <c r="J282" s="563">
        <v>4.8</v>
      </c>
      <c r="K282" s="507">
        <f t="shared" si="68"/>
        <v>48960</v>
      </c>
      <c r="L282" s="508">
        <f t="shared" si="69"/>
        <v>-2856</v>
      </c>
      <c r="M282" s="483">
        <v>1</v>
      </c>
      <c r="N282" s="509">
        <f t="shared" si="71"/>
        <v>-2856</v>
      </c>
      <c r="O282" s="378"/>
      <c r="P282" s="123"/>
    </row>
    <row r="283" spans="1:21" s="117" customFormat="1" ht="15" customHeight="1" x14ac:dyDescent="0.25">
      <c r="A283" s="14" t="s">
        <v>1399</v>
      </c>
      <c r="B283" s="560" t="s">
        <v>179</v>
      </c>
      <c r="C283" s="560" t="s">
        <v>53</v>
      </c>
      <c r="D283" s="561">
        <v>41564</v>
      </c>
      <c r="E283" s="562">
        <v>8632</v>
      </c>
      <c r="F283" s="563">
        <v>5.0599999999999996</v>
      </c>
      <c r="G283" s="504">
        <f t="shared" si="67"/>
        <v>43677.919999999998</v>
      </c>
      <c r="H283" s="505"/>
      <c r="I283" s="599">
        <v>41586</v>
      </c>
      <c r="J283" s="563">
        <v>4.78</v>
      </c>
      <c r="K283" s="507">
        <f t="shared" si="68"/>
        <v>41260.959999999999</v>
      </c>
      <c r="L283" s="508">
        <f t="shared" si="69"/>
        <v>-2416.9599999999991</v>
      </c>
      <c r="M283" s="483">
        <v>0.95830000000000004</v>
      </c>
      <c r="N283" s="509">
        <f t="shared" si="71"/>
        <v>-2316.1727679999995</v>
      </c>
      <c r="O283" s="378"/>
      <c r="P283" s="123"/>
    </row>
    <row r="284" spans="1:21" s="117" customFormat="1" ht="15" customHeight="1" x14ac:dyDescent="0.25">
      <c r="A284" s="14" t="s">
        <v>1338</v>
      </c>
      <c r="B284" s="560" t="s">
        <v>1339</v>
      </c>
      <c r="C284" s="560" t="s">
        <v>53</v>
      </c>
      <c r="D284" s="561">
        <v>41527</v>
      </c>
      <c r="E284" s="562">
        <v>1613</v>
      </c>
      <c r="F284" s="563">
        <v>32.229999999999997</v>
      </c>
      <c r="G284" s="504">
        <f>SUM(E284*F284)</f>
        <v>51986.99</v>
      </c>
      <c r="H284" s="505"/>
      <c r="I284" s="599">
        <v>41591</v>
      </c>
      <c r="J284" s="563">
        <v>32.32</v>
      </c>
      <c r="K284" s="507">
        <f>SUM(E284*J284)</f>
        <v>52132.160000000003</v>
      </c>
      <c r="L284" s="508">
        <f>SUM(K284-G284)</f>
        <v>145.17000000000553</v>
      </c>
      <c r="M284" s="483">
        <v>0.92259999999999998</v>
      </c>
      <c r="N284" s="509">
        <f t="shared" si="71"/>
        <v>133.93384200000509</v>
      </c>
      <c r="O284" s="378"/>
      <c r="P284" s="123"/>
    </row>
    <row r="285" spans="1:21" s="117" customFormat="1" ht="15" customHeight="1" x14ac:dyDescent="0.25">
      <c r="A285" s="14" t="s">
        <v>287</v>
      </c>
      <c r="B285" s="560" t="s">
        <v>288</v>
      </c>
      <c r="C285" s="560" t="s">
        <v>53</v>
      </c>
      <c r="D285" s="561">
        <v>41569</v>
      </c>
      <c r="E285" s="562">
        <v>11521</v>
      </c>
      <c r="F285" s="563">
        <v>5.13</v>
      </c>
      <c r="G285" s="504">
        <f>SUM(E285*F285)</f>
        <v>59102.729999999996</v>
      </c>
      <c r="H285" s="505"/>
      <c r="I285" s="598">
        <v>41598</v>
      </c>
      <c r="J285" s="563">
        <v>4.8899999999999997</v>
      </c>
      <c r="K285" s="507">
        <f>SUM(E285*J285)</f>
        <v>56337.689999999995</v>
      </c>
      <c r="L285" s="508">
        <f>SUM(K285-G285)</f>
        <v>-2765.0400000000009</v>
      </c>
      <c r="M285" s="483">
        <v>0.95830000000000004</v>
      </c>
      <c r="N285" s="509">
        <f>SUM(L285*M285)</f>
        <v>-2649.7378320000012</v>
      </c>
      <c r="O285" s="378"/>
      <c r="P285" s="123"/>
    </row>
    <row r="286" spans="1:21" s="119" customFormat="1" ht="15" customHeight="1" x14ac:dyDescent="0.25">
      <c r="A286" s="510"/>
      <c r="B286" s="511"/>
      <c r="C286" s="511"/>
      <c r="D286" s="512"/>
      <c r="E286" s="513"/>
      <c r="F286" s="514"/>
      <c r="G286" s="515"/>
      <c r="H286" s="516"/>
      <c r="I286" s="512"/>
      <c r="J286" s="514"/>
      <c r="K286" s="518"/>
      <c r="L286" s="519"/>
      <c r="M286" s="520"/>
      <c r="N286" s="521"/>
      <c r="O286" s="377"/>
      <c r="P286" s="124"/>
    </row>
    <row r="287" spans="1:21" s="119" customFormat="1" ht="15" customHeight="1" x14ac:dyDescent="0.25">
      <c r="A287" s="510"/>
      <c r="B287" s="511"/>
      <c r="C287" s="511"/>
      <c r="D287" s="512"/>
      <c r="E287" s="513"/>
      <c r="F287" s="514"/>
      <c r="G287" s="515"/>
      <c r="H287" s="516"/>
      <c r="I287" s="512"/>
      <c r="J287" s="514"/>
      <c r="K287" s="518"/>
      <c r="L287" s="519"/>
      <c r="M287" s="520"/>
      <c r="N287" s="521"/>
      <c r="O287" s="377"/>
      <c r="P287" s="124"/>
    </row>
    <row r="288" spans="1:21" s="119" customFormat="1" ht="15" customHeight="1" x14ac:dyDescent="0.25">
      <c r="A288" s="510"/>
      <c r="B288" s="511"/>
      <c r="C288" s="511"/>
      <c r="D288" s="512"/>
      <c r="E288" s="513"/>
      <c r="F288" s="514"/>
      <c r="G288" s="515"/>
      <c r="H288" s="516"/>
      <c r="I288" s="512"/>
      <c r="J288" s="514"/>
      <c r="K288" s="518"/>
      <c r="L288" s="519"/>
      <c r="M288" s="520"/>
      <c r="N288" s="521"/>
      <c r="O288" s="377"/>
      <c r="P288" s="124"/>
    </row>
    <row r="289" spans="1:16" s="119" customFormat="1" ht="15" customHeight="1" x14ac:dyDescent="0.25">
      <c r="A289" s="510"/>
      <c r="B289" s="511"/>
      <c r="C289" s="511"/>
      <c r="D289" s="512"/>
      <c r="E289" s="513"/>
      <c r="F289" s="514"/>
      <c r="G289" s="515"/>
      <c r="H289" s="516"/>
      <c r="I289" s="512"/>
      <c r="J289" s="514"/>
      <c r="K289" s="518"/>
      <c r="L289" s="519"/>
      <c r="M289" s="520"/>
      <c r="N289" s="521"/>
      <c r="O289" s="377"/>
      <c r="P289" s="124"/>
    </row>
    <row r="290" spans="1:16" s="119" customFormat="1" ht="15" customHeight="1" x14ac:dyDescent="0.25">
      <c r="A290" s="510"/>
      <c r="B290" s="511"/>
      <c r="C290" s="511"/>
      <c r="D290" s="512"/>
      <c r="E290" s="513"/>
      <c r="F290" s="514"/>
      <c r="G290" s="515"/>
      <c r="H290" s="516"/>
      <c r="I290" s="512"/>
      <c r="J290" s="514"/>
      <c r="K290" s="518"/>
      <c r="L290" s="519"/>
      <c r="M290" s="520"/>
      <c r="N290" s="521"/>
      <c r="O290" s="377"/>
      <c r="P290" s="124"/>
    </row>
    <row r="291" spans="1:16" s="119" customFormat="1" ht="15" customHeight="1" x14ac:dyDescent="0.25">
      <c r="A291" s="510"/>
      <c r="B291" s="511"/>
      <c r="C291" s="511"/>
      <c r="D291" s="512"/>
      <c r="E291" s="513"/>
      <c r="F291" s="514"/>
      <c r="G291" s="515"/>
      <c r="H291" s="516"/>
      <c r="I291" s="512"/>
      <c r="J291" s="514"/>
      <c r="K291" s="518"/>
      <c r="L291" s="519"/>
      <c r="M291" s="520"/>
      <c r="N291" s="521"/>
      <c r="O291" s="377"/>
      <c r="P291" s="124"/>
    </row>
    <row r="292" spans="1:16" s="119" customFormat="1" ht="15" customHeight="1" x14ac:dyDescent="0.25">
      <c r="A292" s="510"/>
      <c r="B292" s="511"/>
      <c r="C292" s="511"/>
      <c r="D292" s="512"/>
      <c r="E292" s="513"/>
      <c r="F292" s="514"/>
      <c r="G292" s="515"/>
      <c r="H292" s="516"/>
      <c r="I292" s="512"/>
      <c r="J292" s="514"/>
      <c r="K292" s="518"/>
      <c r="L292" s="519"/>
      <c r="M292" s="520"/>
      <c r="N292" s="521"/>
      <c r="O292" s="377"/>
      <c r="P292" s="124"/>
    </row>
    <row r="293" spans="1:16" s="119" customFormat="1" ht="15" customHeight="1" x14ac:dyDescent="0.25">
      <c r="A293" s="510"/>
      <c r="B293" s="511"/>
      <c r="C293" s="511"/>
      <c r="D293" s="512"/>
      <c r="E293" s="513"/>
      <c r="F293" s="514"/>
      <c r="G293" s="515"/>
      <c r="H293" s="516"/>
      <c r="I293" s="512"/>
      <c r="J293" s="514"/>
      <c r="K293" s="518"/>
      <c r="L293" s="519"/>
      <c r="M293" s="520"/>
      <c r="N293" s="521"/>
      <c r="O293" s="377"/>
      <c r="P293" s="124"/>
    </row>
    <row r="294" spans="1:16" s="119" customFormat="1" ht="15" customHeight="1" x14ac:dyDescent="0.25">
      <c r="A294" s="510"/>
      <c r="B294" s="511"/>
      <c r="C294" s="511"/>
      <c r="D294" s="512"/>
      <c r="E294" s="513"/>
      <c r="F294" s="514"/>
      <c r="G294" s="515"/>
      <c r="H294" s="516"/>
      <c r="I294" s="512"/>
      <c r="J294" s="514"/>
      <c r="K294" s="518"/>
      <c r="L294" s="519"/>
      <c r="M294" s="520"/>
      <c r="N294" s="521"/>
      <c r="O294" s="377"/>
      <c r="P294" s="124"/>
    </row>
    <row r="295" spans="1:16" s="119" customFormat="1" ht="15" customHeight="1" x14ac:dyDescent="0.25">
      <c r="A295" s="510"/>
      <c r="B295" s="511"/>
      <c r="C295" s="511"/>
      <c r="D295" s="512"/>
      <c r="E295" s="513"/>
      <c r="F295" s="514"/>
      <c r="G295" s="515"/>
      <c r="H295" s="516"/>
      <c r="I295" s="512"/>
      <c r="J295" s="514"/>
      <c r="K295" s="518"/>
      <c r="L295" s="519"/>
      <c r="M295" s="520"/>
      <c r="N295" s="521"/>
      <c r="O295" s="377"/>
      <c r="P295" s="124"/>
    </row>
    <row r="296" spans="1:16" s="119" customFormat="1" ht="15" customHeight="1" x14ac:dyDescent="0.25">
      <c r="A296" s="510"/>
      <c r="B296" s="511"/>
      <c r="C296" s="511"/>
      <c r="D296" s="512"/>
      <c r="E296" s="513"/>
      <c r="F296" s="514"/>
      <c r="G296" s="515"/>
      <c r="H296" s="516"/>
      <c r="I296" s="512"/>
      <c r="J296" s="514"/>
      <c r="K296" s="518"/>
      <c r="L296" s="519"/>
      <c r="M296" s="520"/>
      <c r="N296" s="521"/>
      <c r="O296" s="377"/>
      <c r="P296" s="124"/>
    </row>
    <row r="297" spans="1:16" s="117" customFormat="1" ht="15" customHeight="1" x14ac:dyDescent="0.25">
      <c r="A297" s="14"/>
      <c r="B297" s="500"/>
      <c r="C297" s="500"/>
      <c r="D297" s="501"/>
      <c r="E297" s="502"/>
      <c r="F297" s="503"/>
      <c r="G297" s="504"/>
      <c r="H297" s="505"/>
      <c r="I297" s="588"/>
      <c r="J297" s="503"/>
      <c r="K297" s="507"/>
      <c r="L297" s="508"/>
      <c r="M297" s="483"/>
      <c r="N297" s="509"/>
      <c r="O297" s="378"/>
      <c r="P297" s="123"/>
    </row>
    <row r="298" spans="1:16" s="8" customFormat="1" ht="15" customHeight="1" x14ac:dyDescent="0.25">
      <c r="A298" s="14"/>
      <c r="B298" s="14"/>
      <c r="C298" s="14"/>
      <c r="D298" s="576"/>
      <c r="E298" s="479"/>
      <c r="F298" s="480"/>
      <c r="G298" s="504"/>
      <c r="H298" s="558"/>
      <c r="I298" s="481"/>
      <c r="J298" s="595"/>
      <c r="K298" s="480"/>
      <c r="L298" s="508"/>
      <c r="M298" s="549"/>
      <c r="N298" s="509"/>
      <c r="O298" s="381"/>
      <c r="P298" s="121"/>
    </row>
    <row r="299" spans="1:16" ht="15" customHeight="1" x14ac:dyDescent="0.25">
      <c r="D299" s="576"/>
      <c r="G299" s="504"/>
      <c r="H299" s="558"/>
      <c r="J299" s="595"/>
      <c r="L299" s="508"/>
      <c r="M299" s="549"/>
      <c r="O299" s="381"/>
    </row>
    <row r="300" spans="1:16" s="14" customFormat="1" ht="16.5" thickBot="1" x14ac:dyDescent="0.3">
      <c r="A300" s="39" t="s">
        <v>35</v>
      </c>
      <c r="B300" s="39"/>
      <c r="C300" s="39"/>
      <c r="D300" s="39"/>
      <c r="E300" s="39"/>
      <c r="F300" s="40"/>
      <c r="G300" s="40"/>
      <c r="H300" s="41"/>
      <c r="I300" s="42"/>
      <c r="J300" s="41"/>
      <c r="K300" s="40"/>
      <c r="L300" s="299"/>
      <c r="M300" s="256"/>
      <c r="N300" s="240">
        <f>SUM(N33:N299)</f>
        <v>80015.291213923963</v>
      </c>
      <c r="O300" s="478"/>
      <c r="P300" s="120"/>
    </row>
    <row r="301" spans="1:16" ht="11.25" customHeight="1" thickTop="1" x14ac:dyDescent="0.25">
      <c r="A301" s="510"/>
      <c r="B301" s="510"/>
      <c r="C301" s="510"/>
      <c r="D301" s="596"/>
      <c r="E301" s="538"/>
      <c r="F301" s="524"/>
      <c r="G301" s="524"/>
      <c r="H301" s="596"/>
      <c r="I301" s="539"/>
      <c r="J301" s="596"/>
      <c r="K301" s="524"/>
      <c r="L301" s="528"/>
      <c r="M301" s="520"/>
      <c r="N301" s="529"/>
      <c r="O301" s="381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344"/>
  <sheetViews>
    <sheetView zoomScale="115" zoomScaleNormal="115" workbookViewId="0">
      <selection activeCell="R8" sqref="R8"/>
    </sheetView>
  </sheetViews>
  <sheetFormatPr defaultRowHeight="11.25" customHeight="1" x14ac:dyDescent="0.25"/>
  <cols>
    <col min="1" max="1" width="26.140625" style="602" customWidth="1"/>
    <col min="2" max="2" width="6.140625" style="601" bestFit="1" customWidth="1"/>
    <col min="3" max="3" width="4.42578125" style="601" customWidth="1"/>
    <col min="4" max="4" width="11.42578125" style="602" customWidth="1"/>
    <col min="5" max="5" width="7.85546875" style="602" customWidth="1"/>
    <col min="6" max="6" width="8.5703125" style="603" customWidth="1"/>
    <col min="7" max="7" width="10.140625" style="606" customWidth="1"/>
    <col min="8" max="8" width="3.140625" style="602" customWidth="1"/>
    <col min="9" max="9" width="10" style="605" customWidth="1"/>
    <col min="10" max="10" width="8.5703125" style="603" customWidth="1"/>
    <col min="11" max="11" width="11.85546875" style="606" customWidth="1"/>
    <col min="12" max="12" width="11.140625" style="607" customWidth="1"/>
    <col min="13" max="13" width="9.140625" style="608" customWidth="1"/>
    <col min="14" max="14" width="10" style="707" customWidth="1"/>
    <col min="17" max="16384" width="9.140625" style="1"/>
  </cols>
  <sheetData>
    <row r="2" spans="1:16" s="3" customFormat="1" ht="15" x14ac:dyDescent="0.25">
      <c r="A2" s="600" t="s">
        <v>879</v>
      </c>
      <c r="B2" s="601"/>
      <c r="C2" s="601"/>
      <c r="D2" s="601"/>
      <c r="E2" s="601"/>
      <c r="F2" s="618"/>
      <c r="G2" s="807" t="s">
        <v>3</v>
      </c>
      <c r="H2" s="601"/>
      <c r="I2" s="808"/>
      <c r="J2" s="808"/>
      <c r="K2" s="619"/>
      <c r="L2" s="807"/>
      <c r="M2" s="807"/>
      <c r="N2" s="708"/>
      <c r="O2" s="325"/>
      <c r="P2" s="325"/>
    </row>
    <row r="3" spans="1:16" s="3" customFormat="1" ht="9" customHeight="1" x14ac:dyDescent="0.25">
      <c r="A3" s="600"/>
      <c r="B3" s="601"/>
      <c r="C3" s="601"/>
      <c r="D3" s="601"/>
      <c r="E3" s="601"/>
      <c r="F3" s="618"/>
      <c r="G3" s="619"/>
      <c r="H3" s="601"/>
      <c r="I3" s="808"/>
      <c r="J3" s="618"/>
      <c r="K3" s="619"/>
      <c r="L3" s="631"/>
      <c r="M3" s="621"/>
      <c r="N3" s="710"/>
      <c r="O3" s="325"/>
      <c r="P3" s="325"/>
    </row>
    <row r="4" spans="1:16" s="7" customFormat="1" ht="12.75" thickBot="1" x14ac:dyDescent="0.25">
      <c r="A4" s="610">
        <f>SUM(K6+K69)</f>
        <v>255009.88100000005</v>
      </c>
      <c r="B4" s="600"/>
      <c r="C4" s="600"/>
      <c r="D4" s="600"/>
      <c r="E4" s="600"/>
      <c r="F4" s="612"/>
      <c r="G4" s="613"/>
      <c r="H4" s="600"/>
      <c r="I4" s="809"/>
      <c r="J4" s="615"/>
      <c r="K4" s="613"/>
      <c r="L4" s="616"/>
      <c r="M4" s="616"/>
      <c r="N4" s="708"/>
    </row>
    <row r="5" spans="1:16" s="11" customFormat="1" ht="16.5" thickTop="1" x14ac:dyDescent="0.25">
      <c r="A5" s="611"/>
      <c r="B5" s="601"/>
      <c r="C5" s="601"/>
      <c r="D5" s="617"/>
      <c r="E5" s="601"/>
      <c r="F5" s="618"/>
      <c r="G5" s="619"/>
      <c r="H5" s="609"/>
      <c r="I5" s="620"/>
      <c r="J5" s="603"/>
      <c r="K5" s="606"/>
      <c r="L5" s="607"/>
      <c r="M5" s="621"/>
      <c r="N5" s="707"/>
    </row>
    <row r="6" spans="1:16" s="14" customFormat="1" ht="15.75" x14ac:dyDescent="0.25">
      <c r="A6" s="884"/>
      <c r="B6" s="623"/>
      <c r="C6" s="623"/>
      <c r="D6" s="623"/>
      <c r="E6" s="623" t="s">
        <v>664</v>
      </c>
      <c r="F6" s="624"/>
      <c r="G6" s="625"/>
      <c r="H6" s="623"/>
      <c r="I6" s="626"/>
      <c r="J6" s="627"/>
      <c r="K6" s="628">
        <f>SUM(N64)</f>
        <v>236221.14999999991</v>
      </c>
      <c r="L6" s="629"/>
      <c r="M6" s="630"/>
      <c r="N6" s="709"/>
    </row>
    <row r="7" spans="1:16" s="2" customFormat="1" ht="12.75" x14ac:dyDescent="0.2">
      <c r="A7" s="602"/>
      <c r="B7" s="601" t="s">
        <v>668</v>
      </c>
      <c r="C7" s="601" t="s">
        <v>181</v>
      </c>
      <c r="D7" s="601" t="s">
        <v>17</v>
      </c>
      <c r="E7" s="601" t="s">
        <v>26</v>
      </c>
      <c r="F7" s="618" t="s">
        <v>19</v>
      </c>
      <c r="G7" s="619" t="s">
        <v>675</v>
      </c>
      <c r="H7" s="601"/>
      <c r="I7" s="617" t="s">
        <v>887</v>
      </c>
      <c r="J7" s="618" t="s">
        <v>681</v>
      </c>
      <c r="K7" s="619" t="s">
        <v>674</v>
      </c>
      <c r="L7" s="631" t="s">
        <v>891</v>
      </c>
      <c r="M7" s="621" t="s">
        <v>27</v>
      </c>
      <c r="N7" s="710" t="s">
        <v>15</v>
      </c>
    </row>
    <row r="8" spans="1:16" s="2" customFormat="1" ht="12.75" x14ac:dyDescent="0.2">
      <c r="A8" s="602"/>
      <c r="B8" s="601" t="s">
        <v>0</v>
      </c>
      <c r="C8" s="601"/>
      <c r="D8" s="601" t="s">
        <v>25</v>
      </c>
      <c r="E8" s="601" t="s">
        <v>21</v>
      </c>
      <c r="F8" s="618" t="s">
        <v>673</v>
      </c>
      <c r="G8" s="619" t="s">
        <v>885</v>
      </c>
      <c r="H8" s="601"/>
      <c r="I8" s="617" t="s">
        <v>888</v>
      </c>
      <c r="J8" s="618" t="s">
        <v>889</v>
      </c>
      <c r="K8" s="619" t="s">
        <v>885</v>
      </c>
      <c r="L8" s="631" t="s">
        <v>885</v>
      </c>
      <c r="M8" s="621" t="s">
        <v>892</v>
      </c>
      <c r="N8" s="710" t="s">
        <v>885</v>
      </c>
    </row>
    <row r="9" spans="1:16" s="2" customFormat="1" ht="12.75" x14ac:dyDescent="0.2">
      <c r="A9" s="602"/>
      <c r="B9" s="601"/>
      <c r="C9" s="601"/>
      <c r="D9" s="601"/>
      <c r="E9" s="601"/>
      <c r="F9" s="618"/>
      <c r="G9" s="619"/>
      <c r="H9" s="601"/>
      <c r="I9" s="633"/>
      <c r="J9" s="618"/>
      <c r="K9" s="619"/>
      <c r="L9" s="631"/>
      <c r="M9" s="621" t="s">
        <v>885</v>
      </c>
      <c r="N9" s="710"/>
    </row>
    <row r="10" spans="1:16" s="117" customFormat="1" ht="15" customHeight="1" x14ac:dyDescent="0.2">
      <c r="A10" s="602" t="s">
        <v>937</v>
      </c>
      <c r="B10" s="634" t="s">
        <v>33</v>
      </c>
      <c r="C10" s="634" t="s">
        <v>53</v>
      </c>
      <c r="D10" s="635">
        <v>36892</v>
      </c>
      <c r="E10" s="636">
        <v>1</v>
      </c>
      <c r="F10" s="637">
        <v>1</v>
      </c>
      <c r="G10" s="638">
        <f>SUM(E10*F10)</f>
        <v>1</v>
      </c>
      <c r="H10" s="639"/>
      <c r="I10" s="640"/>
      <c r="J10" s="637">
        <v>1</v>
      </c>
      <c r="K10" s="606">
        <f>SUM(E10*J10)</f>
        <v>1</v>
      </c>
      <c r="L10" s="607">
        <f>SUM(K10-G10)</f>
        <v>0</v>
      </c>
      <c r="M10" s="641">
        <v>1</v>
      </c>
      <c r="N10" s="711">
        <f>SUM(L10*M10)</f>
        <v>0</v>
      </c>
    </row>
    <row r="11" spans="1:16" s="119" customFormat="1" ht="15" customHeight="1" x14ac:dyDescent="0.2">
      <c r="A11" s="663" t="s">
        <v>938</v>
      </c>
      <c r="B11" s="643" t="s">
        <v>33</v>
      </c>
      <c r="C11" s="643" t="s">
        <v>78</v>
      </c>
      <c r="D11" s="644">
        <v>36893</v>
      </c>
      <c r="E11" s="645">
        <v>1</v>
      </c>
      <c r="F11" s="646">
        <v>1</v>
      </c>
      <c r="G11" s="647">
        <f>SUM(E11*F11)</f>
        <v>1</v>
      </c>
      <c r="H11" s="648"/>
      <c r="I11" s="640"/>
      <c r="J11" s="646">
        <v>1</v>
      </c>
      <c r="K11" s="649">
        <f>SUM(E11*J11)</f>
        <v>1</v>
      </c>
      <c r="L11" s="650">
        <f>SUM(G11-K11)</f>
        <v>0</v>
      </c>
      <c r="M11" s="651">
        <v>1</v>
      </c>
      <c r="N11" s="712">
        <f>SUM(L11*M11)</f>
        <v>0</v>
      </c>
    </row>
    <row r="12" spans="1:16" s="119" customFormat="1" ht="15" customHeight="1" x14ac:dyDescent="0.2">
      <c r="A12" s="663"/>
      <c r="B12" s="643"/>
      <c r="C12" s="643"/>
      <c r="D12" s="635"/>
      <c r="E12" s="636"/>
      <c r="F12" s="637"/>
      <c r="G12" s="638"/>
      <c r="H12" s="639"/>
      <c r="I12" s="640"/>
      <c r="J12" s="637"/>
      <c r="K12" s="606"/>
      <c r="L12" s="607"/>
      <c r="M12" s="641"/>
      <c r="N12" s="712"/>
    </row>
    <row r="13" spans="1:16" s="117" customFormat="1" ht="15" customHeight="1" x14ac:dyDescent="0.25">
      <c r="A13" s="602" t="s">
        <v>1357</v>
      </c>
      <c r="B13" s="652" t="s">
        <v>1369</v>
      </c>
      <c r="C13" s="652" t="s">
        <v>53</v>
      </c>
      <c r="D13" s="653">
        <v>41533</v>
      </c>
      <c r="E13" s="654">
        <v>1203</v>
      </c>
      <c r="F13" s="655">
        <v>49.29</v>
      </c>
      <c r="G13" s="638">
        <f t="shared" ref="G13:G60" si="0">SUM(E13*F13)</f>
        <v>59295.869999999995</v>
      </c>
      <c r="H13" s="639"/>
      <c r="I13" s="656">
        <v>50.52</v>
      </c>
      <c r="J13" s="655">
        <v>53.85</v>
      </c>
      <c r="K13" s="606">
        <f t="shared" ref="K13:K60" si="1">SUM(E13*J13)</f>
        <v>64781.55</v>
      </c>
      <c r="L13" s="607">
        <f t="shared" ref="L13:L59" si="2">SUM(K13-G13)</f>
        <v>5485.6800000000076</v>
      </c>
      <c r="M13" s="657">
        <v>1</v>
      </c>
      <c r="N13" s="711">
        <f t="shared" ref="N13:N60" si="3">SUM(L13*M13)</f>
        <v>5485.6800000000076</v>
      </c>
      <c r="O13" s="330" t="s">
        <v>3</v>
      </c>
      <c r="P13" s="330"/>
    </row>
    <row r="14" spans="1:16" s="117" customFormat="1" ht="15" customHeight="1" x14ac:dyDescent="0.2">
      <c r="A14" s="602" t="s">
        <v>1060</v>
      </c>
      <c r="B14" s="652" t="s">
        <v>1059</v>
      </c>
      <c r="C14" s="652" t="s">
        <v>53</v>
      </c>
      <c r="D14" s="653">
        <v>41571</v>
      </c>
      <c r="E14" s="654">
        <v>1383</v>
      </c>
      <c r="F14" s="655">
        <v>53.96</v>
      </c>
      <c r="G14" s="638">
        <f t="shared" si="0"/>
        <v>74626.680000000008</v>
      </c>
      <c r="H14" s="639"/>
      <c r="I14" s="656">
        <v>53.29</v>
      </c>
      <c r="J14" s="655">
        <v>56.41</v>
      </c>
      <c r="K14" s="606">
        <f t="shared" si="1"/>
        <v>78015.03</v>
      </c>
      <c r="L14" s="607">
        <f t="shared" si="2"/>
        <v>3388.3499999999913</v>
      </c>
      <c r="M14" s="657">
        <v>1</v>
      </c>
      <c r="N14" s="711">
        <f t="shared" si="3"/>
        <v>3388.3499999999913</v>
      </c>
    </row>
    <row r="15" spans="1:16" ht="15" customHeight="1" x14ac:dyDescent="0.25">
      <c r="A15" s="602" t="s">
        <v>968</v>
      </c>
      <c r="B15" s="652" t="s">
        <v>969</v>
      </c>
      <c r="C15" s="652" t="s">
        <v>53</v>
      </c>
      <c r="D15" s="653">
        <v>41310</v>
      </c>
      <c r="E15" s="654">
        <v>555</v>
      </c>
      <c r="F15" s="655">
        <v>60.86</v>
      </c>
      <c r="G15" s="638">
        <f t="shared" si="0"/>
        <v>33777.300000000003</v>
      </c>
      <c r="H15" s="639"/>
      <c r="I15" s="656">
        <v>74.48</v>
      </c>
      <c r="J15" s="606">
        <v>80.010000000000005</v>
      </c>
      <c r="K15" s="606">
        <f t="shared" si="1"/>
        <v>44405.55</v>
      </c>
      <c r="L15" s="607">
        <f t="shared" si="2"/>
        <v>10628.25</v>
      </c>
      <c r="M15" s="657">
        <v>1</v>
      </c>
      <c r="N15" s="711">
        <f t="shared" si="3"/>
        <v>10628.25</v>
      </c>
    </row>
    <row r="16" spans="1:16" ht="15" customHeight="1" x14ac:dyDescent="0.25">
      <c r="A16" s="602" t="s">
        <v>1190</v>
      </c>
      <c r="B16" s="601" t="s">
        <v>226</v>
      </c>
      <c r="C16" s="601" t="s">
        <v>53</v>
      </c>
      <c r="D16" s="620">
        <v>41400</v>
      </c>
      <c r="E16" s="658">
        <v>1085</v>
      </c>
      <c r="F16" s="603">
        <v>76.77</v>
      </c>
      <c r="G16" s="638">
        <f t="shared" si="0"/>
        <v>83295.45</v>
      </c>
      <c r="H16" s="603"/>
      <c r="I16" s="656">
        <v>100.38</v>
      </c>
      <c r="J16" s="606">
        <v>107.58</v>
      </c>
      <c r="K16" s="606">
        <f t="shared" si="1"/>
        <v>116724.3</v>
      </c>
      <c r="L16" s="607">
        <f t="shared" si="2"/>
        <v>33428.850000000006</v>
      </c>
      <c r="M16" s="657">
        <v>1</v>
      </c>
      <c r="N16" s="711">
        <f t="shared" si="3"/>
        <v>33428.850000000006</v>
      </c>
    </row>
    <row r="17" spans="1:16" ht="15" customHeight="1" x14ac:dyDescent="0.2">
      <c r="A17" s="602" t="s">
        <v>611</v>
      </c>
      <c r="B17" s="634" t="s">
        <v>221</v>
      </c>
      <c r="C17" s="634" t="s">
        <v>53</v>
      </c>
      <c r="D17" s="635">
        <v>41593</v>
      </c>
      <c r="E17" s="636">
        <v>1117</v>
      </c>
      <c r="F17" s="637">
        <v>92.85</v>
      </c>
      <c r="G17" s="638">
        <f t="shared" si="0"/>
        <v>103713.45</v>
      </c>
      <c r="H17" s="639"/>
      <c r="I17" s="640">
        <v>89.35</v>
      </c>
      <c r="J17" s="637">
        <v>94.42</v>
      </c>
      <c r="K17" s="606">
        <f t="shared" si="1"/>
        <v>105467.14</v>
      </c>
      <c r="L17" s="607">
        <f t="shared" si="2"/>
        <v>1753.6900000000023</v>
      </c>
      <c r="M17" s="641">
        <v>1</v>
      </c>
      <c r="N17" s="711">
        <f t="shared" si="3"/>
        <v>1753.6900000000023</v>
      </c>
      <c r="O17" s="117"/>
      <c r="P17" s="117"/>
    </row>
    <row r="18" spans="1:16" ht="15" customHeight="1" x14ac:dyDescent="0.2">
      <c r="A18" s="602" t="s">
        <v>1493</v>
      </c>
      <c r="B18" s="634" t="s">
        <v>1492</v>
      </c>
      <c r="C18" s="634" t="s">
        <v>53</v>
      </c>
      <c r="D18" s="635">
        <v>41596</v>
      </c>
      <c r="E18" s="636">
        <v>1740</v>
      </c>
      <c r="F18" s="637">
        <v>75.55</v>
      </c>
      <c r="G18" s="638">
        <f t="shared" si="0"/>
        <v>131457</v>
      </c>
      <c r="H18" s="639"/>
      <c r="I18" s="640">
        <v>73.03</v>
      </c>
      <c r="J18" s="637">
        <v>75.38</v>
      </c>
      <c r="K18" s="606">
        <f t="shared" si="1"/>
        <v>131161.19999999998</v>
      </c>
      <c r="L18" s="607">
        <f t="shared" si="2"/>
        <v>-295.80000000001746</v>
      </c>
      <c r="M18" s="641">
        <v>1</v>
      </c>
      <c r="N18" s="711">
        <f t="shared" si="3"/>
        <v>-295.80000000001746</v>
      </c>
      <c r="O18" s="117"/>
      <c r="P18" s="117"/>
    </row>
    <row r="19" spans="1:16" ht="15" customHeight="1" x14ac:dyDescent="0.25">
      <c r="A19" s="602" t="s">
        <v>1199</v>
      </c>
      <c r="B19" s="601" t="s">
        <v>1200</v>
      </c>
      <c r="C19" s="601" t="s">
        <v>53</v>
      </c>
      <c r="D19" s="659">
        <v>41473</v>
      </c>
      <c r="E19" s="660">
        <v>587</v>
      </c>
      <c r="F19" s="603">
        <v>89.51</v>
      </c>
      <c r="G19" s="638">
        <f t="shared" si="0"/>
        <v>52542.37</v>
      </c>
      <c r="H19" s="603"/>
      <c r="I19" s="656">
        <v>98.04</v>
      </c>
      <c r="J19" s="661">
        <v>106.16</v>
      </c>
      <c r="K19" s="606">
        <f t="shared" si="1"/>
        <v>62315.92</v>
      </c>
      <c r="L19" s="607">
        <f t="shared" si="2"/>
        <v>9773.5499999999956</v>
      </c>
      <c r="M19" s="657">
        <v>1</v>
      </c>
      <c r="N19" s="711">
        <f t="shared" si="3"/>
        <v>9773.5499999999956</v>
      </c>
    </row>
    <row r="20" spans="1:16" ht="15" customHeight="1" x14ac:dyDescent="0.25">
      <c r="A20" s="602" t="s">
        <v>1090</v>
      </c>
      <c r="B20" s="652" t="s">
        <v>1091</v>
      </c>
      <c r="C20" s="652" t="s">
        <v>53</v>
      </c>
      <c r="D20" s="653">
        <v>41563</v>
      </c>
      <c r="E20" s="654">
        <v>967</v>
      </c>
      <c r="F20" s="655">
        <v>56.32</v>
      </c>
      <c r="G20" s="638">
        <f t="shared" si="0"/>
        <v>54461.440000000002</v>
      </c>
      <c r="H20" s="639"/>
      <c r="I20" s="656">
        <v>53.82</v>
      </c>
      <c r="J20" s="655">
        <v>57.96</v>
      </c>
      <c r="K20" s="606">
        <f t="shared" si="1"/>
        <v>56047.32</v>
      </c>
      <c r="L20" s="607">
        <f t="shared" si="2"/>
        <v>1585.8799999999974</v>
      </c>
      <c r="M20" s="657">
        <v>1</v>
      </c>
      <c r="N20" s="711">
        <f t="shared" si="3"/>
        <v>1585.8799999999974</v>
      </c>
      <c r="O20" s="332"/>
      <c r="P20" s="332"/>
    </row>
    <row r="21" spans="1:16" s="117" customFormat="1" ht="15" customHeight="1" x14ac:dyDescent="0.2">
      <c r="A21" s="602" t="s">
        <v>1491</v>
      </c>
      <c r="B21" s="634" t="s">
        <v>867</v>
      </c>
      <c r="C21" s="634" t="s">
        <v>53</v>
      </c>
      <c r="D21" s="635">
        <v>41597</v>
      </c>
      <c r="E21" s="636">
        <v>2963</v>
      </c>
      <c r="F21" s="637">
        <v>51.34</v>
      </c>
      <c r="G21" s="638">
        <f t="shared" si="0"/>
        <v>152120.42000000001</v>
      </c>
      <c r="H21" s="639"/>
      <c r="I21" s="640">
        <v>49.86</v>
      </c>
      <c r="J21" s="637">
        <v>52.41</v>
      </c>
      <c r="K21" s="606">
        <f t="shared" si="1"/>
        <v>155290.82999999999</v>
      </c>
      <c r="L21" s="607">
        <f t="shared" si="2"/>
        <v>3170.4099999999744</v>
      </c>
      <c r="M21" s="641">
        <v>1</v>
      </c>
      <c r="N21" s="711">
        <f t="shared" si="3"/>
        <v>3170.4099999999744</v>
      </c>
    </row>
    <row r="22" spans="1:16" s="117" customFormat="1" ht="15" customHeight="1" x14ac:dyDescent="0.2">
      <c r="A22" s="602" t="s">
        <v>1221</v>
      </c>
      <c r="B22" s="634" t="s">
        <v>1222</v>
      </c>
      <c r="C22" s="634" t="s">
        <v>53</v>
      </c>
      <c r="D22" s="635">
        <v>41596</v>
      </c>
      <c r="E22" s="636">
        <v>4216</v>
      </c>
      <c r="F22" s="637">
        <v>27.42</v>
      </c>
      <c r="G22" s="638">
        <f t="shared" si="0"/>
        <v>115602.72</v>
      </c>
      <c r="H22" s="639"/>
      <c r="I22" s="640">
        <v>26.38</v>
      </c>
      <c r="J22" s="637">
        <v>27.35</v>
      </c>
      <c r="K22" s="606">
        <f t="shared" si="1"/>
        <v>115307.6</v>
      </c>
      <c r="L22" s="607">
        <f t="shared" si="2"/>
        <v>-295.11999999999534</v>
      </c>
      <c r="M22" s="641">
        <v>1</v>
      </c>
      <c r="N22" s="711">
        <f t="shared" si="3"/>
        <v>-295.11999999999534</v>
      </c>
    </row>
    <row r="23" spans="1:16" s="117" customFormat="1" ht="15" customHeight="1" x14ac:dyDescent="0.25">
      <c r="A23" s="602" t="s">
        <v>1358</v>
      </c>
      <c r="B23" s="652" t="s">
        <v>1235</v>
      </c>
      <c r="C23" s="652" t="s">
        <v>53</v>
      </c>
      <c r="D23" s="653">
        <v>41533</v>
      </c>
      <c r="E23" s="654">
        <v>1582</v>
      </c>
      <c r="F23" s="655">
        <v>50.46</v>
      </c>
      <c r="G23" s="638">
        <f t="shared" si="0"/>
        <v>79827.72</v>
      </c>
      <c r="H23" s="639"/>
      <c r="I23" s="656">
        <v>52.19</v>
      </c>
      <c r="J23" s="655">
        <v>55.21</v>
      </c>
      <c r="K23" s="606">
        <f t="shared" si="1"/>
        <v>87342.22</v>
      </c>
      <c r="L23" s="607">
        <f t="shared" si="2"/>
        <v>7514.5</v>
      </c>
      <c r="M23" s="657">
        <v>1</v>
      </c>
      <c r="N23" s="711">
        <f t="shared" si="3"/>
        <v>7514.5</v>
      </c>
      <c r="O23" s="332"/>
      <c r="P23" s="332"/>
    </row>
    <row r="24" spans="1:16" s="117" customFormat="1" ht="15" customHeight="1" x14ac:dyDescent="0.2">
      <c r="A24" s="602" t="s">
        <v>1020</v>
      </c>
      <c r="B24" s="634" t="s">
        <v>1021</v>
      </c>
      <c r="C24" s="634" t="s">
        <v>53</v>
      </c>
      <c r="D24" s="635">
        <v>41583</v>
      </c>
      <c r="E24" s="636">
        <v>1090</v>
      </c>
      <c r="F24" s="637">
        <v>65.11</v>
      </c>
      <c r="G24" s="638">
        <f t="shared" si="0"/>
        <v>70969.899999999994</v>
      </c>
      <c r="H24" s="639"/>
      <c r="I24" s="640">
        <v>63.33</v>
      </c>
      <c r="J24" s="637">
        <v>66.62</v>
      </c>
      <c r="K24" s="606">
        <f t="shared" si="1"/>
        <v>72615.8</v>
      </c>
      <c r="L24" s="607">
        <f t="shared" si="2"/>
        <v>1645.9000000000087</v>
      </c>
      <c r="M24" s="641">
        <v>1</v>
      </c>
      <c r="N24" s="711">
        <f t="shared" si="3"/>
        <v>1645.9000000000087</v>
      </c>
    </row>
    <row r="25" spans="1:16" s="117" customFormat="1" ht="15" customHeight="1" x14ac:dyDescent="0.2">
      <c r="A25" s="602" t="s">
        <v>1469</v>
      </c>
      <c r="B25" s="634" t="s">
        <v>1470</v>
      </c>
      <c r="C25" s="634" t="s">
        <v>53</v>
      </c>
      <c r="D25" s="635">
        <v>41586</v>
      </c>
      <c r="E25" s="636">
        <v>1291</v>
      </c>
      <c r="F25" s="637">
        <v>73.75</v>
      </c>
      <c r="G25" s="638">
        <f t="shared" si="0"/>
        <v>95211.25</v>
      </c>
      <c r="H25" s="639"/>
      <c r="I25" s="640">
        <v>71.69</v>
      </c>
      <c r="J25" s="637">
        <v>74.650000000000006</v>
      </c>
      <c r="K25" s="606">
        <f t="shared" si="1"/>
        <v>96373.150000000009</v>
      </c>
      <c r="L25" s="607">
        <f t="shared" si="2"/>
        <v>1161.9000000000087</v>
      </c>
      <c r="M25" s="641">
        <v>1</v>
      </c>
      <c r="N25" s="711">
        <f t="shared" si="3"/>
        <v>1161.9000000000087</v>
      </c>
    </row>
    <row r="26" spans="1:16" s="117" customFormat="1" ht="15" customHeight="1" x14ac:dyDescent="0.2">
      <c r="A26" s="602" t="s">
        <v>1489</v>
      </c>
      <c r="B26" s="634" t="s">
        <v>1490</v>
      </c>
      <c r="C26" s="634" t="s">
        <v>53</v>
      </c>
      <c r="D26" s="635">
        <v>41597</v>
      </c>
      <c r="E26" s="636">
        <v>1975</v>
      </c>
      <c r="F26" s="637">
        <v>66.760000000000005</v>
      </c>
      <c r="G26" s="638">
        <f t="shared" si="0"/>
        <v>131851</v>
      </c>
      <c r="H26" s="639"/>
      <c r="I26" s="640">
        <v>64.540000000000006</v>
      </c>
      <c r="J26" s="637">
        <v>67.849999999999994</v>
      </c>
      <c r="K26" s="606">
        <f t="shared" si="1"/>
        <v>134003.75</v>
      </c>
      <c r="L26" s="607">
        <f t="shared" si="2"/>
        <v>2152.75</v>
      </c>
      <c r="M26" s="641">
        <v>1</v>
      </c>
      <c r="N26" s="711">
        <f t="shared" si="3"/>
        <v>2152.75</v>
      </c>
    </row>
    <row r="27" spans="1:16" s="117" customFormat="1" ht="15" customHeight="1" x14ac:dyDescent="0.2">
      <c r="A27" s="602" t="s">
        <v>1193</v>
      </c>
      <c r="B27" s="601" t="s">
        <v>1194</v>
      </c>
      <c r="C27" s="601" t="s">
        <v>53</v>
      </c>
      <c r="D27" s="659">
        <v>41451</v>
      </c>
      <c r="E27" s="660">
        <v>3457</v>
      </c>
      <c r="F27" s="603">
        <v>12.34</v>
      </c>
      <c r="G27" s="638">
        <f t="shared" si="0"/>
        <v>42659.38</v>
      </c>
      <c r="H27" s="603"/>
      <c r="I27" s="656">
        <v>15.88</v>
      </c>
      <c r="J27" s="661">
        <v>17.75</v>
      </c>
      <c r="K27" s="606">
        <f t="shared" si="1"/>
        <v>61361.75</v>
      </c>
      <c r="L27" s="607">
        <f t="shared" si="2"/>
        <v>18702.370000000003</v>
      </c>
      <c r="M27" s="657">
        <v>1</v>
      </c>
      <c r="N27" s="711">
        <f t="shared" si="3"/>
        <v>18702.370000000003</v>
      </c>
    </row>
    <row r="28" spans="1:16" s="117" customFormat="1" ht="15" customHeight="1" x14ac:dyDescent="0.2">
      <c r="A28" s="602" t="s">
        <v>1360</v>
      </c>
      <c r="B28" s="652" t="s">
        <v>1367</v>
      </c>
      <c r="C28" s="652" t="s">
        <v>53</v>
      </c>
      <c r="D28" s="653">
        <v>41533</v>
      </c>
      <c r="E28" s="654">
        <v>692</v>
      </c>
      <c r="F28" s="655">
        <v>68.7</v>
      </c>
      <c r="G28" s="638">
        <f t="shared" si="0"/>
        <v>47540.4</v>
      </c>
      <c r="H28" s="639"/>
      <c r="I28" s="656">
        <v>72.37</v>
      </c>
      <c r="J28" s="655">
        <v>78.63</v>
      </c>
      <c r="K28" s="606">
        <f t="shared" si="1"/>
        <v>54411.96</v>
      </c>
      <c r="L28" s="607">
        <f t="shared" si="2"/>
        <v>6871.5599999999977</v>
      </c>
      <c r="M28" s="657">
        <v>1</v>
      </c>
      <c r="N28" s="711">
        <f t="shared" si="3"/>
        <v>6871.5599999999977</v>
      </c>
    </row>
    <row r="29" spans="1:16" s="117" customFormat="1" ht="15" customHeight="1" x14ac:dyDescent="0.2">
      <c r="A29" s="602" t="s">
        <v>1328</v>
      </c>
      <c r="B29" s="652" t="s">
        <v>1329</v>
      </c>
      <c r="C29" s="652" t="s">
        <v>53</v>
      </c>
      <c r="D29" s="653">
        <v>41523</v>
      </c>
      <c r="E29" s="654">
        <v>941</v>
      </c>
      <c r="F29" s="655">
        <v>58.86</v>
      </c>
      <c r="G29" s="638">
        <f t="shared" si="0"/>
        <v>55387.26</v>
      </c>
      <c r="H29" s="639"/>
      <c r="I29" s="656">
        <v>66.05</v>
      </c>
      <c r="J29" s="655">
        <v>71</v>
      </c>
      <c r="K29" s="606">
        <f t="shared" si="1"/>
        <v>66811</v>
      </c>
      <c r="L29" s="607">
        <f t="shared" si="2"/>
        <v>11423.739999999998</v>
      </c>
      <c r="M29" s="657">
        <v>1</v>
      </c>
      <c r="N29" s="711">
        <f t="shared" si="3"/>
        <v>11423.739999999998</v>
      </c>
    </row>
    <row r="30" spans="1:16" s="117" customFormat="1" ht="15" customHeight="1" x14ac:dyDescent="0.2">
      <c r="A30" s="602" t="s">
        <v>1341</v>
      </c>
      <c r="B30" s="652" t="s">
        <v>1342</v>
      </c>
      <c r="C30" s="652" t="s">
        <v>53</v>
      </c>
      <c r="D30" s="653">
        <v>41526</v>
      </c>
      <c r="E30" s="654">
        <v>831</v>
      </c>
      <c r="F30" s="655">
        <v>68.75</v>
      </c>
      <c r="G30" s="638">
        <f t="shared" si="0"/>
        <v>57131.25</v>
      </c>
      <c r="H30" s="639"/>
      <c r="I30" s="656">
        <v>70.66</v>
      </c>
      <c r="J30" s="655">
        <v>72.92</v>
      </c>
      <c r="K30" s="606">
        <f t="shared" si="1"/>
        <v>60596.520000000004</v>
      </c>
      <c r="L30" s="607">
        <f t="shared" si="2"/>
        <v>3465.2700000000041</v>
      </c>
      <c r="M30" s="657">
        <v>1</v>
      </c>
      <c r="N30" s="711">
        <f t="shared" si="3"/>
        <v>3465.2700000000041</v>
      </c>
    </row>
    <row r="31" spans="1:16" s="117" customFormat="1" ht="15" customHeight="1" x14ac:dyDescent="0.2">
      <c r="A31" s="602" t="s">
        <v>1166</v>
      </c>
      <c r="B31" s="634" t="s">
        <v>1165</v>
      </c>
      <c r="C31" s="634" t="s">
        <v>53</v>
      </c>
      <c r="D31" s="635">
        <v>41589</v>
      </c>
      <c r="E31" s="636">
        <v>2573</v>
      </c>
      <c r="F31" s="637">
        <v>48.76</v>
      </c>
      <c r="G31" s="638">
        <f t="shared" si="0"/>
        <v>125459.48</v>
      </c>
      <c r="H31" s="639"/>
      <c r="I31" s="640">
        <v>48.43</v>
      </c>
      <c r="J31" s="637">
        <v>51.58</v>
      </c>
      <c r="K31" s="606">
        <f t="shared" si="1"/>
        <v>132715.34</v>
      </c>
      <c r="L31" s="607">
        <f t="shared" si="2"/>
        <v>7255.8600000000006</v>
      </c>
      <c r="M31" s="641">
        <v>1</v>
      </c>
      <c r="N31" s="711">
        <f t="shared" si="3"/>
        <v>7255.8600000000006</v>
      </c>
    </row>
    <row r="32" spans="1:16" s="117" customFormat="1" ht="15" customHeight="1" x14ac:dyDescent="0.2">
      <c r="A32" s="602" t="s">
        <v>564</v>
      </c>
      <c r="B32" s="652" t="s">
        <v>565</v>
      </c>
      <c r="C32" s="652" t="s">
        <v>53</v>
      </c>
      <c r="D32" s="653">
        <v>41506</v>
      </c>
      <c r="E32" s="654">
        <v>854</v>
      </c>
      <c r="F32" s="655">
        <v>47.76</v>
      </c>
      <c r="G32" s="638">
        <f t="shared" si="0"/>
        <v>40787.040000000001</v>
      </c>
      <c r="H32" s="639"/>
      <c r="I32" s="656">
        <v>52.85</v>
      </c>
      <c r="J32" s="655">
        <v>54.5</v>
      </c>
      <c r="K32" s="606">
        <f t="shared" si="1"/>
        <v>46543</v>
      </c>
      <c r="L32" s="607">
        <f t="shared" si="2"/>
        <v>5755.9599999999991</v>
      </c>
      <c r="M32" s="657">
        <v>1</v>
      </c>
      <c r="N32" s="711">
        <f t="shared" si="3"/>
        <v>5755.9599999999991</v>
      </c>
    </row>
    <row r="33" spans="1:16" s="117" customFormat="1" ht="15" customHeight="1" x14ac:dyDescent="0.2">
      <c r="A33" s="602" t="s">
        <v>1330</v>
      </c>
      <c r="B33" s="652" t="s">
        <v>1331</v>
      </c>
      <c r="C33" s="652" t="s">
        <v>53</v>
      </c>
      <c r="D33" s="653">
        <v>41523</v>
      </c>
      <c r="E33" s="654">
        <v>585</v>
      </c>
      <c r="F33" s="655">
        <v>78.12</v>
      </c>
      <c r="G33" s="638">
        <f t="shared" si="0"/>
        <v>45700.200000000004</v>
      </c>
      <c r="H33" s="639"/>
      <c r="I33" s="656">
        <v>77.75</v>
      </c>
      <c r="J33" s="655">
        <v>83.33</v>
      </c>
      <c r="K33" s="606">
        <f t="shared" si="1"/>
        <v>48748.049999999996</v>
      </c>
      <c r="L33" s="607">
        <f t="shared" si="2"/>
        <v>3047.8499999999913</v>
      </c>
      <c r="M33" s="657">
        <v>1</v>
      </c>
      <c r="N33" s="711">
        <f t="shared" si="3"/>
        <v>3047.8499999999913</v>
      </c>
    </row>
    <row r="34" spans="1:16" s="117" customFormat="1" ht="15" customHeight="1" x14ac:dyDescent="0.2">
      <c r="A34" s="602" t="s">
        <v>1402</v>
      </c>
      <c r="B34" s="652" t="s">
        <v>1403</v>
      </c>
      <c r="C34" s="652" t="s">
        <v>53</v>
      </c>
      <c r="D34" s="653">
        <v>41561</v>
      </c>
      <c r="E34" s="654">
        <v>1611</v>
      </c>
      <c r="F34" s="655">
        <v>33.08</v>
      </c>
      <c r="G34" s="638">
        <f t="shared" si="0"/>
        <v>53291.88</v>
      </c>
      <c r="H34" s="639"/>
      <c r="I34" s="656">
        <v>32.75</v>
      </c>
      <c r="J34" s="655">
        <v>35.56</v>
      </c>
      <c r="K34" s="606">
        <f t="shared" si="1"/>
        <v>57287.16</v>
      </c>
      <c r="L34" s="607">
        <f t="shared" si="2"/>
        <v>3995.2800000000061</v>
      </c>
      <c r="M34" s="657">
        <v>1</v>
      </c>
      <c r="N34" s="711">
        <f t="shared" si="3"/>
        <v>3995.2800000000061</v>
      </c>
    </row>
    <row r="35" spans="1:16" s="117" customFormat="1" ht="15" customHeight="1" x14ac:dyDescent="0.2">
      <c r="A35" s="602" t="s">
        <v>517</v>
      </c>
      <c r="B35" s="652" t="s">
        <v>518</v>
      </c>
      <c r="C35" s="652" t="s">
        <v>53</v>
      </c>
      <c r="D35" s="653">
        <v>41520</v>
      </c>
      <c r="E35" s="654">
        <v>729</v>
      </c>
      <c r="F35" s="655">
        <v>61.26</v>
      </c>
      <c r="G35" s="638">
        <f t="shared" si="0"/>
        <v>44658.54</v>
      </c>
      <c r="H35" s="639"/>
      <c r="I35" s="656">
        <v>62.64</v>
      </c>
      <c r="J35" s="655">
        <v>67.22</v>
      </c>
      <c r="K35" s="606">
        <f t="shared" si="1"/>
        <v>49003.38</v>
      </c>
      <c r="L35" s="607">
        <f t="shared" si="2"/>
        <v>4344.8399999999965</v>
      </c>
      <c r="M35" s="657">
        <v>1</v>
      </c>
      <c r="N35" s="711">
        <f t="shared" si="3"/>
        <v>4344.8399999999965</v>
      </c>
    </row>
    <row r="36" spans="1:16" s="117" customFormat="1" ht="15" customHeight="1" x14ac:dyDescent="0.2">
      <c r="A36" s="602" t="s">
        <v>1488</v>
      </c>
      <c r="B36" s="634" t="s">
        <v>1487</v>
      </c>
      <c r="C36" s="634" t="s">
        <v>53</v>
      </c>
      <c r="D36" s="635">
        <v>41596</v>
      </c>
      <c r="E36" s="636">
        <v>1566</v>
      </c>
      <c r="F36" s="637">
        <v>88.92</v>
      </c>
      <c r="G36" s="638">
        <f t="shared" si="0"/>
        <v>139248.72</v>
      </c>
      <c r="H36" s="639"/>
      <c r="I36" s="640">
        <v>86.18</v>
      </c>
      <c r="J36" s="637">
        <v>88.8</v>
      </c>
      <c r="K36" s="606">
        <f t="shared" si="1"/>
        <v>139060.79999999999</v>
      </c>
      <c r="L36" s="607">
        <f t="shared" si="2"/>
        <v>-187.92000000001281</v>
      </c>
      <c r="M36" s="641">
        <v>1</v>
      </c>
      <c r="N36" s="711">
        <f t="shared" si="3"/>
        <v>-187.92000000001281</v>
      </c>
    </row>
    <row r="37" spans="1:16" s="117" customFormat="1" ht="15" customHeight="1" x14ac:dyDescent="0.2">
      <c r="A37" s="602" t="s">
        <v>1404</v>
      </c>
      <c r="B37" s="652" t="s">
        <v>1405</v>
      </c>
      <c r="C37" s="652" t="s">
        <v>53</v>
      </c>
      <c r="D37" s="653" t="s">
        <v>1406</v>
      </c>
      <c r="E37" s="654">
        <v>1389</v>
      </c>
      <c r="F37" s="655">
        <v>68.760000000000005</v>
      </c>
      <c r="G37" s="638">
        <f t="shared" si="0"/>
        <v>95507.640000000014</v>
      </c>
      <c r="H37" s="639"/>
      <c r="I37" s="656">
        <v>69.540000000000006</v>
      </c>
      <c r="J37" s="655">
        <v>72.03</v>
      </c>
      <c r="K37" s="606">
        <f t="shared" si="1"/>
        <v>100049.67</v>
      </c>
      <c r="L37" s="607">
        <f t="shared" si="2"/>
        <v>4542.0299999999843</v>
      </c>
      <c r="M37" s="657">
        <v>1</v>
      </c>
      <c r="N37" s="711">
        <f t="shared" si="3"/>
        <v>4542.0299999999843</v>
      </c>
    </row>
    <row r="38" spans="1:16" s="117" customFormat="1" ht="15" customHeight="1" x14ac:dyDescent="0.2">
      <c r="A38" s="602" t="s">
        <v>1343</v>
      </c>
      <c r="B38" s="652" t="s">
        <v>478</v>
      </c>
      <c r="C38" s="652" t="s">
        <v>53</v>
      </c>
      <c r="D38" s="653">
        <v>41527</v>
      </c>
      <c r="E38" s="654">
        <v>819</v>
      </c>
      <c r="F38" s="655">
        <v>62.96</v>
      </c>
      <c r="G38" s="638">
        <f t="shared" si="0"/>
        <v>51564.24</v>
      </c>
      <c r="H38" s="639"/>
      <c r="I38" s="656">
        <v>63.92</v>
      </c>
      <c r="J38" s="655">
        <v>68.84</v>
      </c>
      <c r="K38" s="606">
        <f t="shared" si="1"/>
        <v>56379.960000000006</v>
      </c>
      <c r="L38" s="607">
        <f t="shared" si="2"/>
        <v>4815.7200000000084</v>
      </c>
      <c r="M38" s="657">
        <v>1</v>
      </c>
      <c r="N38" s="711">
        <f t="shared" si="3"/>
        <v>4815.7200000000084</v>
      </c>
    </row>
    <row r="39" spans="1:16" s="117" customFormat="1" ht="15" customHeight="1" x14ac:dyDescent="0.2">
      <c r="A39" s="602" t="s">
        <v>1468</v>
      </c>
      <c r="B39" s="652" t="s">
        <v>974</v>
      </c>
      <c r="C39" s="652" t="s">
        <v>53</v>
      </c>
      <c r="D39" s="653">
        <v>41576</v>
      </c>
      <c r="E39" s="654">
        <v>1619</v>
      </c>
      <c r="F39" s="655">
        <v>44.74</v>
      </c>
      <c r="G39" s="638">
        <f t="shared" si="0"/>
        <v>72434.06</v>
      </c>
      <c r="H39" s="639"/>
      <c r="I39" s="656">
        <v>43.06</v>
      </c>
      <c r="J39" s="655">
        <v>45.71</v>
      </c>
      <c r="K39" s="606">
        <f t="shared" si="1"/>
        <v>74004.490000000005</v>
      </c>
      <c r="L39" s="607">
        <f t="shared" si="2"/>
        <v>1570.4300000000076</v>
      </c>
      <c r="M39" s="657">
        <v>1</v>
      </c>
      <c r="N39" s="711">
        <f t="shared" si="3"/>
        <v>1570.4300000000076</v>
      </c>
    </row>
    <row r="40" spans="1:16" ht="11.25" customHeight="1" x14ac:dyDescent="0.2">
      <c r="A40" s="602" t="s">
        <v>621</v>
      </c>
      <c r="B40" s="634" t="s">
        <v>622</v>
      </c>
      <c r="C40" s="634" t="s">
        <v>53</v>
      </c>
      <c r="D40" s="635">
        <v>41593</v>
      </c>
      <c r="E40" s="636">
        <v>1074</v>
      </c>
      <c r="F40" s="637">
        <v>111.15</v>
      </c>
      <c r="G40" s="638">
        <f t="shared" si="0"/>
        <v>119375.1</v>
      </c>
      <c r="H40" s="639"/>
      <c r="I40" s="640">
        <v>107.51</v>
      </c>
      <c r="J40" s="637">
        <v>113.86</v>
      </c>
      <c r="K40" s="606">
        <f t="shared" si="1"/>
        <v>122285.64</v>
      </c>
      <c r="L40" s="607">
        <f t="shared" si="2"/>
        <v>2910.5399999999936</v>
      </c>
      <c r="M40" s="641">
        <v>1</v>
      </c>
      <c r="N40" s="711">
        <f t="shared" si="3"/>
        <v>2910.5399999999936</v>
      </c>
      <c r="O40" s="117"/>
      <c r="P40" s="117"/>
    </row>
    <row r="41" spans="1:16" s="117" customFormat="1" ht="15" customHeight="1" x14ac:dyDescent="0.2">
      <c r="A41" s="602" t="s">
        <v>1473</v>
      </c>
      <c r="B41" s="634" t="s">
        <v>1474</v>
      </c>
      <c r="C41" s="634" t="s">
        <v>53</v>
      </c>
      <c r="D41" s="635">
        <v>41593</v>
      </c>
      <c r="E41" s="636">
        <v>1303</v>
      </c>
      <c r="F41" s="637">
        <v>48.6</v>
      </c>
      <c r="G41" s="638">
        <f t="shared" si="0"/>
        <v>63325.8</v>
      </c>
      <c r="H41" s="639"/>
      <c r="I41" s="640">
        <v>45.6</v>
      </c>
      <c r="J41" s="637">
        <v>47.51</v>
      </c>
      <c r="K41" s="606">
        <f t="shared" si="1"/>
        <v>61905.53</v>
      </c>
      <c r="L41" s="607">
        <f t="shared" si="2"/>
        <v>-1420.2700000000041</v>
      </c>
      <c r="M41" s="641">
        <v>1</v>
      </c>
      <c r="N41" s="711">
        <f t="shared" si="3"/>
        <v>-1420.2700000000041</v>
      </c>
    </row>
    <row r="42" spans="1:16" s="117" customFormat="1" ht="15" customHeight="1" x14ac:dyDescent="0.2">
      <c r="A42" s="602" t="s">
        <v>1485</v>
      </c>
      <c r="B42" s="634" t="s">
        <v>1486</v>
      </c>
      <c r="C42" s="634" t="s">
        <v>53</v>
      </c>
      <c r="D42" s="635">
        <v>41596</v>
      </c>
      <c r="E42" s="636">
        <v>3272</v>
      </c>
      <c r="F42" s="637">
        <v>30.64</v>
      </c>
      <c r="G42" s="638">
        <f t="shared" si="0"/>
        <v>100254.08</v>
      </c>
      <c r="H42" s="639"/>
      <c r="I42" s="640">
        <v>29.3</v>
      </c>
      <c r="J42" s="637">
        <v>31.34</v>
      </c>
      <c r="K42" s="606">
        <f t="shared" si="1"/>
        <v>102544.48</v>
      </c>
      <c r="L42" s="607">
        <f t="shared" si="2"/>
        <v>2290.3999999999942</v>
      </c>
      <c r="M42" s="641">
        <v>1</v>
      </c>
      <c r="N42" s="711">
        <f t="shared" si="3"/>
        <v>2290.3999999999942</v>
      </c>
    </row>
    <row r="43" spans="1:16" s="117" customFormat="1" ht="15" customHeight="1" x14ac:dyDescent="0.2">
      <c r="A43" s="602" t="s">
        <v>1410</v>
      </c>
      <c r="B43" s="652" t="s">
        <v>1409</v>
      </c>
      <c r="C43" s="652" t="s">
        <v>53</v>
      </c>
      <c r="D43" s="653">
        <v>41563</v>
      </c>
      <c r="E43" s="654">
        <v>888</v>
      </c>
      <c r="F43" s="655">
        <v>69.790000000000006</v>
      </c>
      <c r="G43" s="638">
        <f t="shared" si="0"/>
        <v>61973.520000000004</v>
      </c>
      <c r="H43" s="639"/>
      <c r="I43" s="656">
        <v>70.37</v>
      </c>
      <c r="J43" s="655">
        <v>73.58</v>
      </c>
      <c r="K43" s="606">
        <f t="shared" si="1"/>
        <v>65339.040000000001</v>
      </c>
      <c r="L43" s="607">
        <f t="shared" si="2"/>
        <v>3365.5199999999968</v>
      </c>
      <c r="M43" s="657">
        <v>1</v>
      </c>
      <c r="N43" s="711">
        <f t="shared" si="3"/>
        <v>3365.5199999999968</v>
      </c>
    </row>
    <row r="44" spans="1:16" s="117" customFormat="1" ht="15" customHeight="1" x14ac:dyDescent="0.2">
      <c r="A44" s="602" t="s">
        <v>1447</v>
      </c>
      <c r="B44" s="652" t="s">
        <v>1448</v>
      </c>
      <c r="C44" s="652" t="s">
        <v>53</v>
      </c>
      <c r="D44" s="653">
        <v>41569</v>
      </c>
      <c r="E44" s="654">
        <v>922</v>
      </c>
      <c r="F44" s="655">
        <v>80.41</v>
      </c>
      <c r="G44" s="638">
        <f t="shared" si="0"/>
        <v>74138.02</v>
      </c>
      <c r="H44" s="639"/>
      <c r="I44" s="656">
        <v>81.27</v>
      </c>
      <c r="J44" s="655">
        <v>87.12</v>
      </c>
      <c r="K44" s="606">
        <f t="shared" si="1"/>
        <v>80324.639999999999</v>
      </c>
      <c r="L44" s="607">
        <f t="shared" si="2"/>
        <v>6186.6199999999953</v>
      </c>
      <c r="M44" s="657">
        <v>1</v>
      </c>
      <c r="N44" s="711">
        <f t="shared" si="3"/>
        <v>6186.6199999999953</v>
      </c>
    </row>
    <row r="45" spans="1:16" ht="11.25" customHeight="1" x14ac:dyDescent="0.2">
      <c r="A45" s="602" t="s">
        <v>1412</v>
      </c>
      <c r="B45" s="652" t="s">
        <v>1413</v>
      </c>
      <c r="C45" s="652" t="s">
        <v>53</v>
      </c>
      <c r="D45" s="653">
        <v>41564</v>
      </c>
      <c r="E45" s="654">
        <v>2083</v>
      </c>
      <c r="F45" s="655">
        <v>28.4</v>
      </c>
      <c r="G45" s="638">
        <f t="shared" si="0"/>
        <v>59157.2</v>
      </c>
      <c r="H45" s="639"/>
      <c r="I45" s="656">
        <v>28.06</v>
      </c>
      <c r="J45" s="655">
        <v>30.34</v>
      </c>
      <c r="K45" s="606">
        <f t="shared" si="1"/>
        <v>63198.22</v>
      </c>
      <c r="L45" s="607">
        <f t="shared" si="2"/>
        <v>4041.0200000000041</v>
      </c>
      <c r="M45" s="657">
        <v>1</v>
      </c>
      <c r="N45" s="711">
        <f t="shared" si="3"/>
        <v>4041.0200000000041</v>
      </c>
      <c r="O45" s="117"/>
      <c r="P45" s="117"/>
    </row>
    <row r="46" spans="1:16" s="117" customFormat="1" ht="15" customHeight="1" x14ac:dyDescent="0.2">
      <c r="A46" s="602" t="s">
        <v>1417</v>
      </c>
      <c r="B46" s="652" t="s">
        <v>1416</v>
      </c>
      <c r="C46" s="652" t="s">
        <v>53</v>
      </c>
      <c r="D46" s="653">
        <v>41563</v>
      </c>
      <c r="E46" s="654">
        <v>698</v>
      </c>
      <c r="F46" s="655">
        <v>97.3</v>
      </c>
      <c r="G46" s="638">
        <f t="shared" si="0"/>
        <v>67915.399999999994</v>
      </c>
      <c r="H46" s="639"/>
      <c r="I46" s="656">
        <v>93.84</v>
      </c>
      <c r="J46" s="655">
        <v>99.37</v>
      </c>
      <c r="K46" s="606">
        <f t="shared" si="1"/>
        <v>69360.260000000009</v>
      </c>
      <c r="L46" s="607">
        <f t="shared" si="2"/>
        <v>1444.8600000000151</v>
      </c>
      <c r="M46" s="657">
        <v>1</v>
      </c>
      <c r="N46" s="711">
        <f t="shared" si="3"/>
        <v>1444.8600000000151</v>
      </c>
    </row>
    <row r="47" spans="1:16" s="117" customFormat="1" ht="15" customHeight="1" x14ac:dyDescent="0.2">
      <c r="A47" s="602" t="s">
        <v>1449</v>
      </c>
      <c r="B47" s="652" t="s">
        <v>1450</v>
      </c>
      <c r="C47" s="652" t="s">
        <v>53</v>
      </c>
      <c r="D47" s="653">
        <v>36892</v>
      </c>
      <c r="E47" s="654">
        <v>987</v>
      </c>
      <c r="F47" s="655">
        <v>79.53</v>
      </c>
      <c r="G47" s="638">
        <f t="shared" si="0"/>
        <v>78496.11</v>
      </c>
      <c r="H47" s="639"/>
      <c r="I47" s="656">
        <v>77.81</v>
      </c>
      <c r="J47" s="655">
        <v>82.75</v>
      </c>
      <c r="K47" s="606">
        <f t="shared" si="1"/>
        <v>81674.25</v>
      </c>
      <c r="L47" s="607">
        <f t="shared" si="2"/>
        <v>3178.1399999999994</v>
      </c>
      <c r="M47" s="657">
        <v>1</v>
      </c>
      <c r="N47" s="711">
        <f t="shared" si="3"/>
        <v>3178.1399999999994</v>
      </c>
    </row>
    <row r="48" spans="1:16" s="117" customFormat="1" ht="15" customHeight="1" x14ac:dyDescent="0.2">
      <c r="A48" s="602" t="s">
        <v>1463</v>
      </c>
      <c r="B48" s="652" t="s">
        <v>1464</v>
      </c>
      <c r="C48" s="652" t="s">
        <v>53</v>
      </c>
      <c r="D48" s="653">
        <v>41576</v>
      </c>
      <c r="E48" s="654">
        <v>1124</v>
      </c>
      <c r="F48" s="655">
        <v>67.7</v>
      </c>
      <c r="G48" s="638">
        <f t="shared" si="0"/>
        <v>76094.8</v>
      </c>
      <c r="H48" s="639"/>
      <c r="I48" s="656">
        <v>65.7</v>
      </c>
      <c r="J48" s="655">
        <v>70.34</v>
      </c>
      <c r="K48" s="606">
        <f t="shared" si="1"/>
        <v>79062.16</v>
      </c>
      <c r="L48" s="607">
        <f t="shared" si="2"/>
        <v>2967.3600000000006</v>
      </c>
      <c r="M48" s="657">
        <v>1</v>
      </c>
      <c r="N48" s="711">
        <f t="shared" si="3"/>
        <v>2967.3600000000006</v>
      </c>
    </row>
    <row r="49" spans="1:16" s="117" customFormat="1" ht="15" customHeight="1" x14ac:dyDescent="0.2">
      <c r="A49" s="602" t="s">
        <v>860</v>
      </c>
      <c r="B49" s="601" t="s">
        <v>861</v>
      </c>
      <c r="C49" s="601" t="s">
        <v>53</v>
      </c>
      <c r="D49" s="659">
        <v>41485</v>
      </c>
      <c r="E49" s="660">
        <v>820</v>
      </c>
      <c r="F49" s="603">
        <v>93.03</v>
      </c>
      <c r="G49" s="638">
        <f t="shared" si="0"/>
        <v>76284.600000000006</v>
      </c>
      <c r="H49" s="603"/>
      <c r="I49" s="656">
        <v>105.85</v>
      </c>
      <c r="J49" s="661">
        <v>114.07</v>
      </c>
      <c r="K49" s="606">
        <f t="shared" si="1"/>
        <v>93537.4</v>
      </c>
      <c r="L49" s="607">
        <f t="shared" si="2"/>
        <v>17252.799999999988</v>
      </c>
      <c r="M49" s="657">
        <v>1</v>
      </c>
      <c r="N49" s="711">
        <f t="shared" si="3"/>
        <v>17252.799999999988</v>
      </c>
    </row>
    <row r="50" spans="1:16" s="117" customFormat="1" ht="15" customHeight="1" x14ac:dyDescent="0.2">
      <c r="A50" s="602" t="s">
        <v>860</v>
      </c>
      <c r="B50" s="652" t="s">
        <v>861</v>
      </c>
      <c r="C50" s="652" t="s">
        <v>53</v>
      </c>
      <c r="D50" s="653">
        <v>41526</v>
      </c>
      <c r="E50" s="654">
        <v>506</v>
      </c>
      <c r="F50" s="655">
        <v>102.34</v>
      </c>
      <c r="G50" s="638">
        <f t="shared" si="0"/>
        <v>51784.04</v>
      </c>
      <c r="H50" s="639"/>
      <c r="I50" s="656">
        <v>105.85</v>
      </c>
      <c r="J50" s="661">
        <v>114.07</v>
      </c>
      <c r="K50" s="606">
        <f t="shared" si="1"/>
        <v>57719.42</v>
      </c>
      <c r="L50" s="607">
        <f t="shared" si="2"/>
        <v>5935.3799999999974</v>
      </c>
      <c r="M50" s="657">
        <v>1</v>
      </c>
      <c r="N50" s="711">
        <f t="shared" si="3"/>
        <v>5935.3799999999974</v>
      </c>
    </row>
    <row r="51" spans="1:16" s="117" customFormat="1" ht="15" customHeight="1" x14ac:dyDescent="0.2">
      <c r="A51" s="602" t="s">
        <v>860</v>
      </c>
      <c r="B51" s="634" t="s">
        <v>861</v>
      </c>
      <c r="C51" s="634" t="s">
        <v>53</v>
      </c>
      <c r="D51" s="635">
        <v>41589</v>
      </c>
      <c r="E51" s="636">
        <v>869</v>
      </c>
      <c r="F51" s="637">
        <v>111.97</v>
      </c>
      <c r="G51" s="638">
        <f t="shared" si="0"/>
        <v>97301.93</v>
      </c>
      <c r="H51" s="639"/>
      <c r="I51" s="640">
        <v>107.47</v>
      </c>
      <c r="J51" s="637">
        <v>114.07</v>
      </c>
      <c r="K51" s="606">
        <f t="shared" si="1"/>
        <v>99126.829999999987</v>
      </c>
      <c r="L51" s="607">
        <f t="shared" si="2"/>
        <v>1824.8999999999942</v>
      </c>
      <c r="M51" s="641">
        <v>1</v>
      </c>
      <c r="N51" s="711">
        <f t="shared" si="3"/>
        <v>1824.8999999999942</v>
      </c>
    </row>
    <row r="52" spans="1:16" s="119" customFormat="1" ht="15" customHeight="1" x14ac:dyDescent="0.2">
      <c r="A52" s="602" t="s">
        <v>1420</v>
      </c>
      <c r="B52" s="652" t="s">
        <v>1421</v>
      </c>
      <c r="C52" s="652" t="s">
        <v>53</v>
      </c>
      <c r="D52" s="653">
        <v>41563</v>
      </c>
      <c r="E52" s="654">
        <v>882</v>
      </c>
      <c r="F52" s="655">
        <v>79.27</v>
      </c>
      <c r="G52" s="638">
        <f t="shared" si="0"/>
        <v>69916.14</v>
      </c>
      <c r="H52" s="639"/>
      <c r="I52" s="656">
        <v>76.48</v>
      </c>
      <c r="J52" s="655">
        <v>81.349999999999994</v>
      </c>
      <c r="K52" s="606">
        <f t="shared" si="1"/>
        <v>71750.7</v>
      </c>
      <c r="L52" s="607">
        <f t="shared" si="2"/>
        <v>1834.5599999999977</v>
      </c>
      <c r="M52" s="657">
        <v>1</v>
      </c>
      <c r="N52" s="711">
        <f t="shared" si="3"/>
        <v>1834.5599999999977</v>
      </c>
      <c r="O52" s="117"/>
      <c r="P52" s="117"/>
    </row>
    <row r="53" spans="1:16" s="117" customFormat="1" ht="15" customHeight="1" x14ac:dyDescent="0.2">
      <c r="A53" s="602" t="s">
        <v>1422</v>
      </c>
      <c r="B53" s="652" t="s">
        <v>1423</v>
      </c>
      <c r="C53" s="652" t="s">
        <v>53</v>
      </c>
      <c r="D53" s="653">
        <v>41563</v>
      </c>
      <c r="E53" s="654">
        <v>709</v>
      </c>
      <c r="F53" s="655">
        <v>91.42</v>
      </c>
      <c r="G53" s="638">
        <f t="shared" si="0"/>
        <v>64816.78</v>
      </c>
      <c r="H53" s="639"/>
      <c r="I53" s="656">
        <v>88.01</v>
      </c>
      <c r="J53" s="655">
        <v>92.73</v>
      </c>
      <c r="K53" s="606">
        <f t="shared" si="1"/>
        <v>65745.570000000007</v>
      </c>
      <c r="L53" s="607">
        <f t="shared" si="2"/>
        <v>928.79000000000815</v>
      </c>
      <c r="M53" s="657">
        <v>1</v>
      </c>
      <c r="N53" s="711">
        <f t="shared" si="3"/>
        <v>928.79000000000815</v>
      </c>
    </row>
    <row r="54" spans="1:16" s="117" customFormat="1" ht="15" customHeight="1" x14ac:dyDescent="0.2">
      <c r="A54" s="602" t="s">
        <v>1363</v>
      </c>
      <c r="B54" s="652" t="s">
        <v>1364</v>
      </c>
      <c r="C54" s="652" t="s">
        <v>53</v>
      </c>
      <c r="D54" s="653">
        <v>41534</v>
      </c>
      <c r="E54" s="654">
        <v>1242</v>
      </c>
      <c r="F54" s="655">
        <v>55.59</v>
      </c>
      <c r="G54" s="638">
        <f t="shared" si="0"/>
        <v>69042.78</v>
      </c>
      <c r="H54" s="639"/>
      <c r="I54" s="656">
        <v>59.8</v>
      </c>
      <c r="J54" s="655">
        <v>63.06</v>
      </c>
      <c r="K54" s="606">
        <f t="shared" si="1"/>
        <v>78320.52</v>
      </c>
      <c r="L54" s="607">
        <f t="shared" si="2"/>
        <v>9277.7400000000052</v>
      </c>
      <c r="M54" s="657">
        <v>1</v>
      </c>
      <c r="N54" s="711">
        <f t="shared" si="3"/>
        <v>9277.7400000000052</v>
      </c>
    </row>
    <row r="55" spans="1:16" s="117" customFormat="1" ht="15" customHeight="1" x14ac:dyDescent="0.2">
      <c r="A55" s="602" t="s">
        <v>497</v>
      </c>
      <c r="B55" s="652" t="s">
        <v>498</v>
      </c>
      <c r="C55" s="652" t="s">
        <v>53</v>
      </c>
      <c r="D55" s="653">
        <v>41563</v>
      </c>
      <c r="E55" s="654">
        <v>1140</v>
      </c>
      <c r="F55" s="655">
        <v>74.150000000000006</v>
      </c>
      <c r="G55" s="638">
        <f t="shared" si="0"/>
        <v>84531</v>
      </c>
      <c r="H55" s="639"/>
      <c r="I55" s="656">
        <v>72.03</v>
      </c>
      <c r="J55" s="655">
        <v>75.41</v>
      </c>
      <c r="K55" s="606">
        <f t="shared" si="1"/>
        <v>85967.4</v>
      </c>
      <c r="L55" s="607">
        <f t="shared" si="2"/>
        <v>1436.3999999999942</v>
      </c>
      <c r="M55" s="657">
        <v>1</v>
      </c>
      <c r="N55" s="711">
        <f t="shared" si="3"/>
        <v>1436.3999999999942</v>
      </c>
    </row>
    <row r="56" spans="1:16" s="117" customFormat="1" ht="15" customHeight="1" x14ac:dyDescent="0.2">
      <c r="A56" s="602" t="s">
        <v>1195</v>
      </c>
      <c r="B56" s="601" t="s">
        <v>1196</v>
      </c>
      <c r="C56" s="601" t="s">
        <v>53</v>
      </c>
      <c r="D56" s="659">
        <v>41457</v>
      </c>
      <c r="E56" s="660">
        <v>2200</v>
      </c>
      <c r="F56" s="603">
        <v>36.450000000000003</v>
      </c>
      <c r="G56" s="638">
        <f t="shared" si="0"/>
        <v>80190</v>
      </c>
      <c r="H56" s="603"/>
      <c r="I56" s="656">
        <v>36.81</v>
      </c>
      <c r="J56" s="661">
        <v>38.950000000000003</v>
      </c>
      <c r="K56" s="606">
        <f t="shared" si="1"/>
        <v>85690</v>
      </c>
      <c r="L56" s="607">
        <f t="shared" si="2"/>
        <v>5500</v>
      </c>
      <c r="M56" s="657">
        <v>1</v>
      </c>
      <c r="N56" s="711">
        <f t="shared" si="3"/>
        <v>5500</v>
      </c>
    </row>
    <row r="57" spans="1:16" s="117" customFormat="1" ht="15" customHeight="1" x14ac:dyDescent="0.2">
      <c r="A57" s="602" t="s">
        <v>1484</v>
      </c>
      <c r="B57" s="634" t="s">
        <v>1196</v>
      </c>
      <c r="C57" s="634" t="s">
        <v>53</v>
      </c>
      <c r="D57" s="635">
        <v>41597</v>
      </c>
      <c r="E57" s="636">
        <v>4216</v>
      </c>
      <c r="F57" s="637">
        <v>38.75</v>
      </c>
      <c r="G57" s="638">
        <f t="shared" si="0"/>
        <v>163370</v>
      </c>
      <c r="H57" s="639"/>
      <c r="I57" s="640">
        <v>37.71</v>
      </c>
      <c r="J57" s="637">
        <v>38.950000000000003</v>
      </c>
      <c r="K57" s="606">
        <f t="shared" si="1"/>
        <v>164213.20000000001</v>
      </c>
      <c r="L57" s="607">
        <f t="shared" si="2"/>
        <v>843.20000000001164</v>
      </c>
      <c r="M57" s="641">
        <v>1</v>
      </c>
      <c r="N57" s="711">
        <f t="shared" si="3"/>
        <v>843.20000000001164</v>
      </c>
    </row>
    <row r="58" spans="1:16" s="117" customFormat="1" ht="15" customHeight="1" x14ac:dyDescent="0.2">
      <c r="A58" s="602" t="s">
        <v>1361</v>
      </c>
      <c r="B58" s="652" t="s">
        <v>1366</v>
      </c>
      <c r="C58" s="652" t="s">
        <v>53</v>
      </c>
      <c r="D58" s="653">
        <v>41534</v>
      </c>
      <c r="E58" s="654">
        <v>1408</v>
      </c>
      <c r="F58" s="655">
        <v>50.5</v>
      </c>
      <c r="G58" s="638">
        <f t="shared" si="0"/>
        <v>71104</v>
      </c>
      <c r="H58" s="639"/>
      <c r="I58" s="656">
        <v>53.16</v>
      </c>
      <c r="J58" s="655">
        <v>56.72</v>
      </c>
      <c r="K58" s="606">
        <f t="shared" si="1"/>
        <v>79861.759999999995</v>
      </c>
      <c r="L58" s="607">
        <f t="shared" si="2"/>
        <v>8757.7599999999948</v>
      </c>
      <c r="M58" s="657">
        <v>1</v>
      </c>
      <c r="N58" s="711">
        <f t="shared" si="3"/>
        <v>8757.7599999999948</v>
      </c>
    </row>
    <row r="59" spans="1:16" s="117" customFormat="1" ht="15" customHeight="1" x14ac:dyDescent="0.2">
      <c r="A59" s="602" t="s">
        <v>1482</v>
      </c>
      <c r="B59" s="634" t="s">
        <v>1483</v>
      </c>
      <c r="C59" s="634" t="s">
        <v>53</v>
      </c>
      <c r="D59" s="635">
        <v>41596</v>
      </c>
      <c r="E59" s="636">
        <v>1466</v>
      </c>
      <c r="F59" s="637">
        <v>69.099999999999994</v>
      </c>
      <c r="G59" s="638">
        <f t="shared" si="0"/>
        <v>101300.59999999999</v>
      </c>
      <c r="H59" s="639"/>
      <c r="I59" s="640">
        <v>66.11</v>
      </c>
      <c r="J59" s="637">
        <v>70.95</v>
      </c>
      <c r="K59" s="606">
        <f t="shared" si="1"/>
        <v>104012.7</v>
      </c>
      <c r="L59" s="607">
        <f t="shared" si="2"/>
        <v>2712.1000000000058</v>
      </c>
      <c r="M59" s="641">
        <v>1</v>
      </c>
      <c r="N59" s="711">
        <f t="shared" si="3"/>
        <v>2712.1000000000058</v>
      </c>
    </row>
    <row r="60" spans="1:16" s="117" customFormat="1" ht="15" customHeight="1" x14ac:dyDescent="0.2">
      <c r="A60" s="663" t="s">
        <v>1034</v>
      </c>
      <c r="B60" s="643" t="s">
        <v>1035</v>
      </c>
      <c r="C60" s="643" t="s">
        <v>78</v>
      </c>
      <c r="D60" s="644">
        <v>41592</v>
      </c>
      <c r="E60" s="645">
        <v>2057</v>
      </c>
      <c r="F60" s="646">
        <v>43.13</v>
      </c>
      <c r="G60" s="647">
        <f t="shared" si="0"/>
        <v>88718.41</v>
      </c>
      <c r="H60" s="648"/>
      <c r="I60" s="640">
        <v>45.03</v>
      </c>
      <c r="J60" s="646">
        <v>43.98</v>
      </c>
      <c r="K60" s="649">
        <f t="shared" si="1"/>
        <v>90466.86</v>
      </c>
      <c r="L60" s="650">
        <f>SUM(G60-K60)</f>
        <v>-1748.4499999999971</v>
      </c>
      <c r="M60" s="651">
        <v>1</v>
      </c>
      <c r="N60" s="712">
        <f t="shared" si="3"/>
        <v>-1748.4499999999971</v>
      </c>
      <c r="O60" s="119"/>
      <c r="P60" s="119"/>
    </row>
    <row r="61" spans="1:16" s="119" customFormat="1" ht="15" customHeight="1" x14ac:dyDescent="0.2">
      <c r="A61" s="663"/>
      <c r="B61" s="643"/>
      <c r="C61" s="643"/>
      <c r="D61" s="644"/>
      <c r="E61" s="645"/>
      <c r="F61" s="646"/>
      <c r="G61" s="647"/>
      <c r="H61" s="648"/>
      <c r="I61" s="640"/>
      <c r="J61" s="646"/>
      <c r="K61" s="649"/>
      <c r="L61" s="650"/>
      <c r="M61" s="651"/>
      <c r="N61" s="712"/>
    </row>
    <row r="62" spans="1:16" s="119" customFormat="1" ht="15" customHeight="1" x14ac:dyDescent="0.2">
      <c r="A62" s="663"/>
      <c r="B62" s="643"/>
      <c r="C62" s="643"/>
      <c r="D62" s="644"/>
      <c r="E62" s="645"/>
      <c r="F62" s="646"/>
      <c r="G62" s="647"/>
      <c r="H62" s="648"/>
      <c r="I62" s="640"/>
      <c r="J62" s="646"/>
      <c r="K62" s="649"/>
      <c r="L62" s="650"/>
      <c r="M62" s="651"/>
      <c r="N62" s="712"/>
    </row>
    <row r="63" spans="1:16" s="8" customFormat="1" ht="15" customHeight="1" x14ac:dyDescent="0.2">
      <c r="A63" s="663"/>
      <c r="B63" s="642"/>
      <c r="C63" s="642"/>
      <c r="D63" s="666"/>
      <c r="E63" s="663"/>
      <c r="F63" s="664"/>
      <c r="G63" s="649"/>
      <c r="H63" s="666"/>
      <c r="I63" s="667"/>
      <c r="J63" s="664"/>
      <c r="K63" s="649"/>
      <c r="L63" s="607"/>
      <c r="M63" s="665"/>
      <c r="N63" s="713"/>
      <c r="O63" s="158"/>
      <c r="P63" s="158"/>
    </row>
    <row r="64" spans="1:16" s="14" customFormat="1" ht="16.5" thickBot="1" x14ac:dyDescent="0.3">
      <c r="A64" s="885" t="s">
        <v>665</v>
      </c>
      <c r="B64" s="669"/>
      <c r="C64" s="669"/>
      <c r="D64" s="669"/>
      <c r="E64" s="669"/>
      <c r="F64" s="670"/>
      <c r="G64" s="671"/>
      <c r="H64" s="672"/>
      <c r="I64" s="673"/>
      <c r="J64" s="670"/>
      <c r="K64" s="671"/>
      <c r="L64" s="674"/>
      <c r="M64" s="675"/>
      <c r="N64" s="714">
        <f>SUM(N13:N63)</f>
        <v>236221.14999999991</v>
      </c>
    </row>
    <row r="65" spans="1:14" s="14" customFormat="1" ht="16.5" thickTop="1" x14ac:dyDescent="0.25">
      <c r="A65" s="886"/>
      <c r="B65" s="676"/>
      <c r="C65" s="676"/>
      <c r="D65" s="676"/>
      <c r="E65" s="676"/>
      <c r="F65" s="677"/>
      <c r="G65" s="678"/>
      <c r="H65" s="679"/>
      <c r="I65" s="680"/>
      <c r="J65" s="677"/>
      <c r="K65" s="678"/>
      <c r="L65" s="681"/>
      <c r="M65" s="682"/>
      <c r="N65" s="715"/>
    </row>
    <row r="66" spans="1:14" ht="11.25" customHeight="1" x14ac:dyDescent="0.25">
      <c r="A66" s="685"/>
      <c r="B66" s="683"/>
      <c r="C66" s="683"/>
      <c r="D66" s="684"/>
      <c r="E66" s="685"/>
      <c r="F66" s="686"/>
      <c r="G66" s="687"/>
      <c r="H66" s="684"/>
      <c r="I66" s="688"/>
      <c r="J66" s="686"/>
      <c r="K66" s="687"/>
      <c r="L66" s="689"/>
      <c r="M66" s="690"/>
      <c r="N66" s="716"/>
    </row>
    <row r="67" spans="1:14" ht="11.25" customHeight="1" x14ac:dyDescent="0.25">
      <c r="A67" s="685"/>
      <c r="B67" s="683"/>
      <c r="C67" s="683"/>
      <c r="D67" s="685"/>
      <c r="E67" s="685"/>
      <c r="F67" s="686"/>
      <c r="G67" s="687"/>
      <c r="H67" s="685"/>
      <c r="I67" s="688"/>
      <c r="J67" s="686"/>
      <c r="K67" s="687"/>
      <c r="L67" s="689"/>
      <c r="M67" s="690"/>
      <c r="N67" s="716"/>
    </row>
    <row r="68" spans="1:14" ht="11.25" customHeight="1" x14ac:dyDescent="0.25">
      <c r="A68" s="663"/>
      <c r="B68" s="642"/>
      <c r="C68" s="642"/>
      <c r="D68" s="663"/>
      <c r="E68" s="663"/>
      <c r="F68" s="664"/>
      <c r="G68" s="649"/>
      <c r="H68" s="663"/>
      <c r="I68" s="691"/>
      <c r="J68" s="664"/>
      <c r="K68" s="649"/>
      <c r="L68" s="650"/>
      <c r="M68" s="665"/>
      <c r="N68" s="713"/>
    </row>
    <row r="69" spans="1:14" s="22" customFormat="1" ht="18.75" x14ac:dyDescent="0.3">
      <c r="A69" s="775"/>
      <c r="B69" s="692"/>
      <c r="C69" s="692"/>
      <c r="D69" s="692"/>
      <c r="E69" s="692" t="s">
        <v>666</v>
      </c>
      <c r="F69" s="693"/>
      <c r="G69" s="694"/>
      <c r="H69" s="692"/>
      <c r="I69" s="695"/>
      <c r="J69" s="696"/>
      <c r="K69" s="697">
        <f>SUM(N341)</f>
        <v>18788.731000000138</v>
      </c>
      <c r="L69" s="698"/>
      <c r="M69" s="699"/>
      <c r="N69" s="717"/>
    </row>
    <row r="70" spans="1:14" s="2" customFormat="1" ht="15" customHeight="1" x14ac:dyDescent="0.2">
      <c r="A70" s="602"/>
      <c r="B70" s="601" t="s">
        <v>668</v>
      </c>
      <c r="C70" s="601" t="s">
        <v>181</v>
      </c>
      <c r="D70" s="601" t="s">
        <v>17</v>
      </c>
      <c r="E70" s="601" t="s">
        <v>26</v>
      </c>
      <c r="F70" s="618" t="s">
        <v>19</v>
      </c>
      <c r="G70" s="619" t="s">
        <v>675</v>
      </c>
      <c r="H70" s="601"/>
      <c r="I70" s="617" t="s">
        <v>18</v>
      </c>
      <c r="J70" s="618" t="s">
        <v>681</v>
      </c>
      <c r="K70" s="619" t="s">
        <v>674</v>
      </c>
      <c r="L70" s="631" t="s">
        <v>891</v>
      </c>
      <c r="M70" s="621" t="s">
        <v>27</v>
      </c>
      <c r="N70" s="710" t="s">
        <v>15</v>
      </c>
    </row>
    <row r="71" spans="1:14" s="2" customFormat="1" ht="15" customHeight="1" x14ac:dyDescent="0.2">
      <c r="A71" s="602"/>
      <c r="B71" s="601" t="s">
        <v>0</v>
      </c>
      <c r="C71" s="601"/>
      <c r="D71" s="601" t="s">
        <v>25</v>
      </c>
      <c r="E71" s="601" t="s">
        <v>21</v>
      </c>
      <c r="F71" s="618" t="s">
        <v>673</v>
      </c>
      <c r="G71" s="619" t="s">
        <v>885</v>
      </c>
      <c r="H71" s="601"/>
      <c r="I71" s="617" t="s">
        <v>7</v>
      </c>
      <c r="J71" s="618" t="s">
        <v>889</v>
      </c>
      <c r="K71" s="619" t="s">
        <v>885</v>
      </c>
      <c r="L71" s="631" t="s">
        <v>885</v>
      </c>
      <c r="M71" s="621" t="s">
        <v>892</v>
      </c>
      <c r="N71" s="710" t="s">
        <v>885</v>
      </c>
    </row>
    <row r="72" spans="1:14" s="841" customFormat="1" ht="15" customHeight="1" x14ac:dyDescent="0.2">
      <c r="A72" s="862"/>
      <c r="B72" s="834"/>
      <c r="C72" s="834"/>
      <c r="D72" s="834"/>
      <c r="E72" s="834"/>
      <c r="F72" s="835"/>
      <c r="G72" s="836"/>
      <c r="H72" s="834"/>
      <c r="I72" s="837"/>
      <c r="J72" s="835"/>
      <c r="K72" s="836"/>
      <c r="L72" s="838"/>
      <c r="M72" s="839" t="s">
        <v>885</v>
      </c>
      <c r="N72" s="840"/>
    </row>
    <row r="73" spans="1:14" s="845" customFormat="1" ht="15" customHeight="1" x14ac:dyDescent="0.2">
      <c r="A73" s="847"/>
      <c r="B73" s="842"/>
      <c r="C73" s="842"/>
      <c r="D73" s="815"/>
      <c r="E73" s="816"/>
      <c r="F73" s="817"/>
      <c r="G73" s="818"/>
      <c r="H73" s="819"/>
      <c r="I73" s="843"/>
      <c r="J73" s="817"/>
      <c r="K73" s="821"/>
      <c r="L73" s="822"/>
      <c r="M73" s="823"/>
      <c r="N73" s="844"/>
    </row>
    <row r="74" spans="1:14" s="845" customFormat="1" ht="15" customHeight="1" x14ac:dyDescent="0.2">
      <c r="A74" s="847" t="s">
        <v>368</v>
      </c>
      <c r="B74" s="842" t="s">
        <v>369</v>
      </c>
      <c r="C74" s="842" t="s">
        <v>78</v>
      </c>
      <c r="D74" s="846">
        <v>40798</v>
      </c>
      <c r="E74" s="847">
        <v>500</v>
      </c>
      <c r="F74" s="848">
        <v>25.03</v>
      </c>
      <c r="G74" s="849">
        <f t="shared" ref="G74:G80" si="4">SUM(E74*F74)</f>
        <v>12515</v>
      </c>
      <c r="H74" s="850"/>
      <c r="I74" s="815">
        <v>40843</v>
      </c>
      <c r="J74" s="848">
        <v>26.785</v>
      </c>
      <c r="K74" s="851">
        <f t="shared" ref="K74:K80" si="5">SUM(E74*J74)</f>
        <v>13392.5</v>
      </c>
      <c r="L74" s="822">
        <f t="shared" ref="L74:L79" si="6">SUM(G74-K74)</f>
        <v>-877.5</v>
      </c>
      <c r="M74" s="852">
        <v>1</v>
      </c>
      <c r="N74" s="824">
        <f t="shared" ref="N74:N79" si="7">SUM(G74-K74)*M74</f>
        <v>-877.5</v>
      </c>
    </row>
    <row r="75" spans="1:14" s="845" customFormat="1" ht="15" customHeight="1" x14ac:dyDescent="0.2">
      <c r="A75" s="847" t="s">
        <v>370</v>
      </c>
      <c r="B75" s="842" t="s">
        <v>371</v>
      </c>
      <c r="C75" s="842" t="s">
        <v>78</v>
      </c>
      <c r="D75" s="846">
        <v>40808</v>
      </c>
      <c r="E75" s="847">
        <v>136</v>
      </c>
      <c r="F75" s="848">
        <v>81.93</v>
      </c>
      <c r="G75" s="849">
        <f t="shared" si="4"/>
        <v>11142.480000000001</v>
      </c>
      <c r="H75" s="850"/>
      <c r="I75" s="815">
        <v>40834</v>
      </c>
      <c r="J75" s="848">
        <v>85.99</v>
      </c>
      <c r="K75" s="851">
        <f t="shared" si="5"/>
        <v>11694.64</v>
      </c>
      <c r="L75" s="822">
        <f t="shared" si="6"/>
        <v>-552.15999999999804</v>
      </c>
      <c r="M75" s="852">
        <v>1</v>
      </c>
      <c r="N75" s="824">
        <f t="shared" si="7"/>
        <v>-552.15999999999804</v>
      </c>
    </row>
    <row r="76" spans="1:14" s="845" customFormat="1" ht="15" customHeight="1" x14ac:dyDescent="0.2">
      <c r="A76" s="847" t="s">
        <v>372</v>
      </c>
      <c r="B76" s="842" t="s">
        <v>373</v>
      </c>
      <c r="C76" s="842" t="s">
        <v>78</v>
      </c>
      <c r="D76" s="846">
        <v>40808</v>
      </c>
      <c r="E76" s="847">
        <v>376</v>
      </c>
      <c r="F76" s="848">
        <v>24.11</v>
      </c>
      <c r="G76" s="849">
        <f t="shared" si="4"/>
        <v>9065.36</v>
      </c>
      <c r="H76" s="850"/>
      <c r="I76" s="815">
        <v>40844</v>
      </c>
      <c r="J76" s="848">
        <v>25.45</v>
      </c>
      <c r="K76" s="851">
        <f t="shared" si="5"/>
        <v>9569.1999999999989</v>
      </c>
      <c r="L76" s="822">
        <f t="shared" si="6"/>
        <v>-503.83999999999833</v>
      </c>
      <c r="M76" s="852">
        <v>1</v>
      </c>
      <c r="N76" s="824">
        <f t="shared" si="7"/>
        <v>-503.83999999999833</v>
      </c>
    </row>
    <row r="77" spans="1:14" s="845" customFormat="1" ht="15" customHeight="1" x14ac:dyDescent="0.2">
      <c r="A77" s="847" t="s">
        <v>374</v>
      </c>
      <c r="B77" s="842" t="s">
        <v>375</v>
      </c>
      <c r="C77" s="842" t="s">
        <v>78</v>
      </c>
      <c r="D77" s="846">
        <v>40808</v>
      </c>
      <c r="E77" s="847">
        <v>1020</v>
      </c>
      <c r="F77" s="848">
        <v>9.3219999999999992</v>
      </c>
      <c r="G77" s="849">
        <f t="shared" si="4"/>
        <v>9508.4399999999987</v>
      </c>
      <c r="H77" s="850"/>
      <c r="I77" s="815">
        <v>40821</v>
      </c>
      <c r="J77" s="848">
        <v>10.3</v>
      </c>
      <c r="K77" s="851">
        <f t="shared" si="5"/>
        <v>10506</v>
      </c>
      <c r="L77" s="853">
        <f t="shared" si="6"/>
        <v>-997.56000000000131</v>
      </c>
      <c r="M77" s="852">
        <v>1</v>
      </c>
      <c r="N77" s="824">
        <f t="shared" si="7"/>
        <v>-997.56000000000131</v>
      </c>
    </row>
    <row r="78" spans="1:14" s="845" customFormat="1" ht="15" customHeight="1" x14ac:dyDescent="0.2">
      <c r="A78" s="847" t="s">
        <v>376</v>
      </c>
      <c r="B78" s="842" t="s">
        <v>377</v>
      </c>
      <c r="C78" s="842" t="s">
        <v>78</v>
      </c>
      <c r="D78" s="846">
        <v>40798</v>
      </c>
      <c r="E78" s="847">
        <v>2777</v>
      </c>
      <c r="F78" s="848">
        <v>3.66</v>
      </c>
      <c r="G78" s="849">
        <f t="shared" si="4"/>
        <v>10163.82</v>
      </c>
      <c r="H78" s="850"/>
      <c r="I78" s="854"/>
      <c r="J78" s="848">
        <v>3.13</v>
      </c>
      <c r="K78" s="851">
        <f t="shared" si="5"/>
        <v>8692.01</v>
      </c>
      <c r="L78" s="822">
        <f t="shared" si="6"/>
        <v>1471.8099999999995</v>
      </c>
      <c r="M78" s="852">
        <v>1</v>
      </c>
      <c r="N78" s="824">
        <f t="shared" si="7"/>
        <v>1471.8099999999995</v>
      </c>
    </row>
    <row r="79" spans="1:14" s="845" customFormat="1" ht="15" customHeight="1" x14ac:dyDescent="0.2">
      <c r="A79" s="847" t="s">
        <v>368</v>
      </c>
      <c r="B79" s="842" t="s">
        <v>369</v>
      </c>
      <c r="C79" s="842" t="s">
        <v>78</v>
      </c>
      <c r="D79" s="846">
        <v>40798</v>
      </c>
      <c r="E79" s="847">
        <v>500</v>
      </c>
      <c r="F79" s="848">
        <v>25.03</v>
      </c>
      <c r="G79" s="849">
        <f t="shared" si="4"/>
        <v>12515</v>
      </c>
      <c r="H79" s="850"/>
      <c r="I79" s="854"/>
      <c r="J79" s="848">
        <v>24</v>
      </c>
      <c r="K79" s="851">
        <f t="shared" si="5"/>
        <v>12000</v>
      </c>
      <c r="L79" s="822">
        <f t="shared" si="6"/>
        <v>515</v>
      </c>
      <c r="M79" s="852">
        <v>1</v>
      </c>
      <c r="N79" s="824">
        <f t="shared" si="7"/>
        <v>515</v>
      </c>
    </row>
    <row r="80" spans="1:14" s="845" customFormat="1" ht="15" customHeight="1" x14ac:dyDescent="0.2">
      <c r="A80" s="816" t="s">
        <v>475</v>
      </c>
      <c r="B80" s="814" t="s">
        <v>476</v>
      </c>
      <c r="C80" s="814" t="s">
        <v>53</v>
      </c>
      <c r="D80" s="815">
        <v>40918</v>
      </c>
      <c r="E80" s="816">
        <v>435</v>
      </c>
      <c r="F80" s="817">
        <v>52.31</v>
      </c>
      <c r="G80" s="818">
        <f t="shared" si="4"/>
        <v>22754.850000000002</v>
      </c>
      <c r="H80" s="819"/>
      <c r="I80" s="815">
        <v>40991</v>
      </c>
      <c r="J80" s="817">
        <v>52.88</v>
      </c>
      <c r="K80" s="821">
        <f t="shared" si="5"/>
        <v>23002.800000000003</v>
      </c>
      <c r="L80" s="822">
        <f t="shared" ref="L80:L105" si="8">SUM(K80-G80)</f>
        <v>247.95000000000073</v>
      </c>
      <c r="M80" s="852">
        <v>1</v>
      </c>
      <c r="N80" s="824">
        <f t="shared" ref="N80:N105" si="9">SUM(K80-G80)*M80</f>
        <v>247.95000000000073</v>
      </c>
    </row>
    <row r="81" spans="1:14" s="845" customFormat="1" ht="15" customHeight="1" x14ac:dyDescent="0.2">
      <c r="A81" s="816" t="s">
        <v>477</v>
      </c>
      <c r="B81" s="814" t="s">
        <v>478</v>
      </c>
      <c r="C81" s="814" t="s">
        <v>53</v>
      </c>
      <c r="D81" s="815">
        <v>40947</v>
      </c>
      <c r="E81" s="816">
        <v>403</v>
      </c>
      <c r="F81" s="817">
        <v>38.35</v>
      </c>
      <c r="G81" s="818">
        <f t="shared" ref="G81:G129" si="10">SUM(E81*F81)</f>
        <v>15455.050000000001</v>
      </c>
      <c r="H81" s="819"/>
      <c r="I81" s="815">
        <v>40973</v>
      </c>
      <c r="J81" s="817">
        <v>38.549999999999997</v>
      </c>
      <c r="K81" s="821">
        <f t="shared" ref="K81:K129" si="11">SUM(E81*J81)</f>
        <v>15535.65</v>
      </c>
      <c r="L81" s="822">
        <f t="shared" si="8"/>
        <v>80.599999999998545</v>
      </c>
      <c r="M81" s="852">
        <v>1</v>
      </c>
      <c r="N81" s="824">
        <f t="shared" si="9"/>
        <v>80.599999999998545</v>
      </c>
    </row>
    <row r="82" spans="1:14" s="845" customFormat="1" ht="15" customHeight="1" x14ac:dyDescent="0.2">
      <c r="A82" s="816" t="s">
        <v>479</v>
      </c>
      <c r="B82" s="814" t="s">
        <v>480</v>
      </c>
      <c r="C82" s="814" t="s">
        <v>53</v>
      </c>
      <c r="D82" s="815">
        <v>40948</v>
      </c>
      <c r="E82" s="816">
        <v>141</v>
      </c>
      <c r="F82" s="817">
        <v>87.76</v>
      </c>
      <c r="G82" s="818">
        <f t="shared" si="10"/>
        <v>12374.16</v>
      </c>
      <c r="H82" s="819"/>
      <c r="I82" s="815">
        <v>40973</v>
      </c>
      <c r="J82" s="817">
        <v>82.06</v>
      </c>
      <c r="K82" s="821">
        <f t="shared" si="11"/>
        <v>11570.460000000001</v>
      </c>
      <c r="L82" s="822">
        <f t="shared" si="8"/>
        <v>-803.69999999999891</v>
      </c>
      <c r="M82" s="852">
        <v>1</v>
      </c>
      <c r="N82" s="824">
        <f t="shared" si="9"/>
        <v>-803.69999999999891</v>
      </c>
    </row>
    <row r="83" spans="1:14" s="845" customFormat="1" ht="15" customHeight="1" x14ac:dyDescent="0.2">
      <c r="A83" s="816" t="s">
        <v>1305</v>
      </c>
      <c r="B83" s="814" t="s">
        <v>481</v>
      </c>
      <c r="C83" s="814" t="s">
        <v>53</v>
      </c>
      <c r="D83" s="815">
        <v>40948</v>
      </c>
      <c r="E83" s="816">
        <v>203</v>
      </c>
      <c r="F83" s="817">
        <v>82.74</v>
      </c>
      <c r="G83" s="818">
        <f t="shared" si="10"/>
        <v>16796.219999999998</v>
      </c>
      <c r="H83" s="819"/>
      <c r="I83" s="815">
        <v>40974</v>
      </c>
      <c r="J83" s="817">
        <v>81.150000000000006</v>
      </c>
      <c r="K83" s="821">
        <f t="shared" si="11"/>
        <v>16473.45</v>
      </c>
      <c r="L83" s="822">
        <f t="shared" si="8"/>
        <v>-322.7699999999968</v>
      </c>
      <c r="M83" s="852">
        <v>1</v>
      </c>
      <c r="N83" s="824">
        <f t="shared" si="9"/>
        <v>-322.7699999999968</v>
      </c>
    </row>
    <row r="84" spans="1:14" s="845" customFormat="1" ht="15" customHeight="1" x14ac:dyDescent="0.2">
      <c r="A84" s="816" t="s">
        <v>482</v>
      </c>
      <c r="B84" s="814" t="s">
        <v>483</v>
      </c>
      <c r="C84" s="814" t="s">
        <v>53</v>
      </c>
      <c r="D84" s="815">
        <v>40786</v>
      </c>
      <c r="E84" s="816">
        <v>609</v>
      </c>
      <c r="F84" s="817">
        <v>30.22</v>
      </c>
      <c r="G84" s="818">
        <f t="shared" si="10"/>
        <v>18403.98</v>
      </c>
      <c r="H84" s="819"/>
      <c r="I84" s="815">
        <v>40974</v>
      </c>
      <c r="J84" s="817">
        <v>31.29</v>
      </c>
      <c r="K84" s="821">
        <f t="shared" si="11"/>
        <v>19055.61</v>
      </c>
      <c r="L84" s="822">
        <f t="shared" si="8"/>
        <v>651.63000000000102</v>
      </c>
      <c r="M84" s="852">
        <v>1</v>
      </c>
      <c r="N84" s="824">
        <f t="shared" si="9"/>
        <v>651.63000000000102</v>
      </c>
    </row>
    <row r="85" spans="1:14" s="845" customFormat="1" ht="15" customHeight="1" x14ac:dyDescent="0.2">
      <c r="A85" s="816" t="s">
        <v>484</v>
      </c>
      <c r="B85" s="814" t="s">
        <v>485</v>
      </c>
      <c r="C85" s="814" t="s">
        <v>53</v>
      </c>
      <c r="D85" s="815">
        <v>40913</v>
      </c>
      <c r="E85" s="816">
        <v>505</v>
      </c>
      <c r="F85" s="817">
        <v>38.64</v>
      </c>
      <c r="G85" s="818">
        <f t="shared" si="10"/>
        <v>19513.2</v>
      </c>
      <c r="H85" s="819"/>
      <c r="I85" s="815">
        <v>40974</v>
      </c>
      <c r="J85" s="817">
        <v>37.43</v>
      </c>
      <c r="K85" s="821">
        <f t="shared" si="11"/>
        <v>18902.150000000001</v>
      </c>
      <c r="L85" s="822">
        <f t="shared" si="8"/>
        <v>-611.04999999999927</v>
      </c>
      <c r="M85" s="852">
        <v>1</v>
      </c>
      <c r="N85" s="824">
        <f>SUM(K85-G85)*M85</f>
        <v>-611.04999999999927</v>
      </c>
    </row>
    <row r="86" spans="1:14" s="845" customFormat="1" ht="15" customHeight="1" x14ac:dyDescent="0.2">
      <c r="A86" s="816" t="s">
        <v>486</v>
      </c>
      <c r="B86" s="814" t="s">
        <v>487</v>
      </c>
      <c r="C86" s="814" t="s">
        <v>53</v>
      </c>
      <c r="D86" s="815">
        <v>40953</v>
      </c>
      <c r="E86" s="816">
        <v>485</v>
      </c>
      <c r="F86" s="817">
        <v>29.5</v>
      </c>
      <c r="G86" s="818">
        <f t="shared" si="10"/>
        <v>14307.5</v>
      </c>
      <c r="H86" s="819"/>
      <c r="I86" s="815">
        <v>40974</v>
      </c>
      <c r="J86" s="817">
        <v>28.52</v>
      </c>
      <c r="K86" s="821">
        <f t="shared" si="11"/>
        <v>13832.199999999999</v>
      </c>
      <c r="L86" s="822">
        <f t="shared" si="8"/>
        <v>-475.30000000000109</v>
      </c>
      <c r="M86" s="852">
        <v>1</v>
      </c>
      <c r="N86" s="824">
        <f t="shared" si="9"/>
        <v>-475.30000000000109</v>
      </c>
    </row>
    <row r="87" spans="1:14" s="845" customFormat="1" ht="15" customHeight="1" x14ac:dyDescent="0.2">
      <c r="A87" s="816" t="s">
        <v>488</v>
      </c>
      <c r="B87" s="814" t="s">
        <v>489</v>
      </c>
      <c r="C87" s="814" t="s">
        <v>53</v>
      </c>
      <c r="D87" s="815">
        <v>40962</v>
      </c>
      <c r="E87" s="816">
        <v>1510</v>
      </c>
      <c r="F87" s="817">
        <v>13.82</v>
      </c>
      <c r="G87" s="818">
        <f t="shared" si="10"/>
        <v>20868.2</v>
      </c>
      <c r="H87" s="819"/>
      <c r="I87" s="815">
        <v>40974</v>
      </c>
      <c r="J87" s="817">
        <v>13.17</v>
      </c>
      <c r="K87" s="821">
        <f t="shared" si="11"/>
        <v>19886.7</v>
      </c>
      <c r="L87" s="822">
        <f t="shared" si="8"/>
        <v>-981.5</v>
      </c>
      <c r="M87" s="852">
        <v>1</v>
      </c>
      <c r="N87" s="824">
        <f t="shared" si="9"/>
        <v>-981.5</v>
      </c>
    </row>
    <row r="88" spans="1:14" s="845" customFormat="1" ht="15" customHeight="1" x14ac:dyDescent="0.2">
      <c r="A88" s="816" t="s">
        <v>490</v>
      </c>
      <c r="B88" s="814" t="s">
        <v>491</v>
      </c>
      <c r="C88" s="814" t="s">
        <v>53</v>
      </c>
      <c r="D88" s="815">
        <v>40953</v>
      </c>
      <c r="E88" s="816">
        <v>421</v>
      </c>
      <c r="F88" s="817">
        <v>54.32</v>
      </c>
      <c r="G88" s="818">
        <f t="shared" si="10"/>
        <v>22868.720000000001</v>
      </c>
      <c r="H88" s="819"/>
      <c r="I88" s="815">
        <v>40989</v>
      </c>
      <c r="J88" s="817">
        <v>53.96</v>
      </c>
      <c r="K88" s="821">
        <f t="shared" si="11"/>
        <v>22717.16</v>
      </c>
      <c r="L88" s="822">
        <f t="shared" si="8"/>
        <v>-151.56000000000131</v>
      </c>
      <c r="M88" s="852">
        <v>1</v>
      </c>
      <c r="N88" s="824">
        <f t="shared" si="9"/>
        <v>-151.56000000000131</v>
      </c>
    </row>
    <row r="89" spans="1:14" s="845" customFormat="1" ht="15" customHeight="1" x14ac:dyDescent="0.2">
      <c r="A89" s="816" t="s">
        <v>1306</v>
      </c>
      <c r="B89" s="814" t="s">
        <v>492</v>
      </c>
      <c r="C89" s="814" t="s">
        <v>53</v>
      </c>
      <c r="D89" s="815">
        <v>40980</v>
      </c>
      <c r="E89" s="855">
        <v>819</v>
      </c>
      <c r="F89" s="817">
        <v>59.32</v>
      </c>
      <c r="G89" s="818">
        <f t="shared" si="10"/>
        <v>48583.08</v>
      </c>
      <c r="H89" s="819"/>
      <c r="I89" s="815">
        <v>40988</v>
      </c>
      <c r="J89" s="817">
        <v>58.1</v>
      </c>
      <c r="K89" s="821">
        <f t="shared" si="11"/>
        <v>47583.9</v>
      </c>
      <c r="L89" s="822">
        <f t="shared" si="8"/>
        <v>-999.18000000000029</v>
      </c>
      <c r="M89" s="852">
        <v>1</v>
      </c>
      <c r="N89" s="824">
        <f t="shared" si="9"/>
        <v>-999.18000000000029</v>
      </c>
    </row>
    <row r="90" spans="1:14" s="845" customFormat="1" ht="15" customHeight="1" x14ac:dyDescent="0.2">
      <c r="A90" s="816" t="s">
        <v>493</v>
      </c>
      <c r="B90" s="814" t="s">
        <v>494</v>
      </c>
      <c r="C90" s="814" t="s">
        <v>53</v>
      </c>
      <c r="D90" s="815">
        <v>40987</v>
      </c>
      <c r="E90" s="816">
        <v>685</v>
      </c>
      <c r="F90" s="817">
        <v>94.58</v>
      </c>
      <c r="G90" s="818">
        <f t="shared" si="10"/>
        <v>64787.299999999996</v>
      </c>
      <c r="H90" s="819"/>
      <c r="I90" s="815">
        <v>40990</v>
      </c>
      <c r="J90" s="817">
        <v>93.12</v>
      </c>
      <c r="K90" s="821">
        <f t="shared" si="11"/>
        <v>63787.200000000004</v>
      </c>
      <c r="L90" s="822">
        <f t="shared" si="8"/>
        <v>-1000.0999999999913</v>
      </c>
      <c r="M90" s="852">
        <v>1</v>
      </c>
      <c r="N90" s="824">
        <f t="shared" si="9"/>
        <v>-1000.0999999999913</v>
      </c>
    </row>
    <row r="91" spans="1:14" s="845" customFormat="1" ht="15" customHeight="1" x14ac:dyDescent="0.2">
      <c r="A91" s="816" t="s">
        <v>495</v>
      </c>
      <c r="B91" s="814" t="s">
        <v>496</v>
      </c>
      <c r="C91" s="814" t="s">
        <v>53</v>
      </c>
      <c r="D91" s="815">
        <v>40980</v>
      </c>
      <c r="E91" s="816">
        <v>555</v>
      </c>
      <c r="F91" s="817">
        <v>110.9</v>
      </c>
      <c r="G91" s="818">
        <f t="shared" si="10"/>
        <v>61549.5</v>
      </c>
      <c r="H91" s="819"/>
      <c r="I91" s="815">
        <v>40988</v>
      </c>
      <c r="J91" s="817">
        <v>109.1</v>
      </c>
      <c r="K91" s="821">
        <f t="shared" si="11"/>
        <v>60550.5</v>
      </c>
      <c r="L91" s="822">
        <f t="shared" si="8"/>
        <v>-999</v>
      </c>
      <c r="M91" s="852">
        <v>1</v>
      </c>
      <c r="N91" s="824">
        <f t="shared" si="9"/>
        <v>-999</v>
      </c>
    </row>
    <row r="92" spans="1:14" s="845" customFormat="1" ht="15" customHeight="1" x14ac:dyDescent="0.2">
      <c r="A92" s="816" t="s">
        <v>497</v>
      </c>
      <c r="B92" s="814" t="s">
        <v>498</v>
      </c>
      <c r="C92" s="814" t="s">
        <v>53</v>
      </c>
      <c r="D92" s="815">
        <v>40940</v>
      </c>
      <c r="E92" s="816">
        <v>1220</v>
      </c>
      <c r="F92" s="817">
        <v>45.78</v>
      </c>
      <c r="G92" s="818">
        <f t="shared" si="10"/>
        <v>55851.6</v>
      </c>
      <c r="H92" s="819"/>
      <c r="I92" s="815">
        <v>40991</v>
      </c>
      <c r="J92" s="817">
        <v>49.55</v>
      </c>
      <c r="K92" s="821">
        <f t="shared" si="11"/>
        <v>60451</v>
      </c>
      <c r="L92" s="822">
        <f t="shared" si="8"/>
        <v>4599.4000000000015</v>
      </c>
      <c r="M92" s="852">
        <v>1</v>
      </c>
      <c r="N92" s="824">
        <f t="shared" si="9"/>
        <v>4599.4000000000015</v>
      </c>
    </row>
    <row r="93" spans="1:14" s="845" customFormat="1" ht="15" customHeight="1" x14ac:dyDescent="0.2">
      <c r="A93" s="816" t="s">
        <v>499</v>
      </c>
      <c r="B93" s="814" t="s">
        <v>500</v>
      </c>
      <c r="C93" s="814" t="s">
        <v>53</v>
      </c>
      <c r="D93" s="815">
        <v>40994</v>
      </c>
      <c r="E93" s="816">
        <v>455</v>
      </c>
      <c r="F93" s="817">
        <v>151.1</v>
      </c>
      <c r="G93" s="818">
        <f t="shared" si="10"/>
        <v>68750.5</v>
      </c>
      <c r="H93" s="819"/>
      <c r="I93" s="815">
        <v>40996</v>
      </c>
      <c r="J93" s="817">
        <v>148.9</v>
      </c>
      <c r="K93" s="821">
        <f t="shared" si="11"/>
        <v>67749.5</v>
      </c>
      <c r="L93" s="822">
        <f t="shared" si="8"/>
        <v>-1001</v>
      </c>
      <c r="M93" s="852">
        <v>1</v>
      </c>
      <c r="N93" s="824">
        <f t="shared" si="9"/>
        <v>-1001</v>
      </c>
    </row>
    <row r="94" spans="1:14" s="845" customFormat="1" ht="15" customHeight="1" x14ac:dyDescent="0.2">
      <c r="A94" s="862" t="s">
        <v>501</v>
      </c>
      <c r="B94" s="814" t="s">
        <v>502</v>
      </c>
      <c r="C94" s="814" t="s">
        <v>53</v>
      </c>
      <c r="D94" s="815">
        <v>41001</v>
      </c>
      <c r="E94" s="816">
        <v>813</v>
      </c>
      <c r="F94" s="817">
        <v>74.27</v>
      </c>
      <c r="G94" s="818">
        <f t="shared" si="10"/>
        <v>60381.509999999995</v>
      </c>
      <c r="H94" s="819"/>
      <c r="I94" s="815">
        <v>41002</v>
      </c>
      <c r="J94" s="817">
        <v>73.069999999999993</v>
      </c>
      <c r="K94" s="821">
        <f t="shared" si="11"/>
        <v>59405.909999999996</v>
      </c>
      <c r="L94" s="822">
        <f t="shared" si="8"/>
        <v>-975.59999999999854</v>
      </c>
      <c r="M94" s="852">
        <v>1</v>
      </c>
      <c r="N94" s="824">
        <f t="shared" si="9"/>
        <v>-975.59999999999854</v>
      </c>
    </row>
    <row r="95" spans="1:14" s="845" customFormat="1" ht="15" customHeight="1" x14ac:dyDescent="0.2">
      <c r="A95" s="862" t="s">
        <v>503</v>
      </c>
      <c r="B95" s="814" t="s">
        <v>504</v>
      </c>
      <c r="C95" s="814" t="s">
        <v>53</v>
      </c>
      <c r="D95" s="815">
        <v>40981</v>
      </c>
      <c r="E95" s="816">
        <v>595</v>
      </c>
      <c r="F95" s="817">
        <v>20.440000000000001</v>
      </c>
      <c r="G95" s="818">
        <f t="shared" si="10"/>
        <v>12161.800000000001</v>
      </c>
      <c r="H95" s="819"/>
      <c r="I95" s="815">
        <v>41004</v>
      </c>
      <c r="J95" s="817">
        <v>18.760000000000002</v>
      </c>
      <c r="K95" s="821">
        <f t="shared" si="11"/>
        <v>11162.2</v>
      </c>
      <c r="L95" s="822">
        <f t="shared" si="8"/>
        <v>-999.60000000000036</v>
      </c>
      <c r="M95" s="852">
        <v>1</v>
      </c>
      <c r="N95" s="824">
        <f t="shared" si="9"/>
        <v>-999.60000000000036</v>
      </c>
    </row>
    <row r="96" spans="1:14" s="845" customFormat="1" ht="15" customHeight="1" x14ac:dyDescent="0.2">
      <c r="A96" s="816" t="s">
        <v>505</v>
      </c>
      <c r="B96" s="814" t="s">
        <v>506</v>
      </c>
      <c r="C96" s="814" t="s">
        <v>53</v>
      </c>
      <c r="D96" s="815">
        <v>41008</v>
      </c>
      <c r="E96" s="816">
        <v>847</v>
      </c>
      <c r="F96" s="817">
        <v>25.98</v>
      </c>
      <c r="G96" s="818">
        <f t="shared" si="10"/>
        <v>22005.06</v>
      </c>
      <c r="H96" s="819"/>
      <c r="I96" s="815">
        <v>41009</v>
      </c>
      <c r="J96" s="817">
        <v>25.89</v>
      </c>
      <c r="K96" s="821">
        <f t="shared" si="11"/>
        <v>21928.83</v>
      </c>
      <c r="L96" s="822">
        <f t="shared" si="8"/>
        <v>-76.229999999999563</v>
      </c>
      <c r="M96" s="852">
        <v>1</v>
      </c>
      <c r="N96" s="824">
        <f t="shared" si="9"/>
        <v>-76.229999999999563</v>
      </c>
    </row>
    <row r="97" spans="1:14" s="845" customFormat="1" ht="15" customHeight="1" x14ac:dyDescent="0.2">
      <c r="A97" s="862" t="s">
        <v>507</v>
      </c>
      <c r="B97" s="814" t="s">
        <v>508</v>
      </c>
      <c r="C97" s="814" t="s">
        <v>53</v>
      </c>
      <c r="D97" s="815">
        <v>40980</v>
      </c>
      <c r="E97" s="816">
        <v>758</v>
      </c>
      <c r="F97" s="817">
        <v>51.27</v>
      </c>
      <c r="G97" s="818">
        <f t="shared" si="10"/>
        <v>38862.660000000003</v>
      </c>
      <c r="H97" s="819"/>
      <c r="I97" s="815">
        <v>41009</v>
      </c>
      <c r="J97" s="817">
        <v>51.36</v>
      </c>
      <c r="K97" s="821">
        <f t="shared" si="11"/>
        <v>38930.879999999997</v>
      </c>
      <c r="L97" s="822">
        <f t="shared" si="8"/>
        <v>68.219999999993888</v>
      </c>
      <c r="M97" s="852">
        <v>1</v>
      </c>
      <c r="N97" s="824">
        <f t="shared" si="9"/>
        <v>68.219999999993888</v>
      </c>
    </row>
    <row r="98" spans="1:14" s="845" customFormat="1" ht="15" customHeight="1" x14ac:dyDescent="0.2">
      <c r="A98" s="862" t="s">
        <v>509</v>
      </c>
      <c r="B98" s="814" t="s">
        <v>510</v>
      </c>
      <c r="C98" s="814" t="s">
        <v>53</v>
      </c>
      <c r="D98" s="815">
        <v>40980</v>
      </c>
      <c r="E98" s="816">
        <v>588</v>
      </c>
      <c r="F98" s="817">
        <v>112.1</v>
      </c>
      <c r="G98" s="818">
        <f t="shared" si="10"/>
        <v>65914.8</v>
      </c>
      <c r="H98" s="819"/>
      <c r="I98" s="815">
        <v>41009</v>
      </c>
      <c r="J98" s="817">
        <v>111.1</v>
      </c>
      <c r="K98" s="821">
        <f t="shared" si="11"/>
        <v>65326.799999999996</v>
      </c>
      <c r="L98" s="822">
        <f t="shared" si="8"/>
        <v>-588.00000000000728</v>
      </c>
      <c r="M98" s="852">
        <v>1</v>
      </c>
      <c r="N98" s="824">
        <f t="shared" si="9"/>
        <v>-588.00000000000728</v>
      </c>
    </row>
    <row r="99" spans="1:14" s="845" customFormat="1" ht="15" customHeight="1" x14ac:dyDescent="0.2">
      <c r="A99" s="862" t="s">
        <v>511</v>
      </c>
      <c r="B99" s="814" t="s">
        <v>512</v>
      </c>
      <c r="C99" s="814" t="s">
        <v>53</v>
      </c>
      <c r="D99" s="815">
        <v>40980</v>
      </c>
      <c r="E99" s="816">
        <v>1220</v>
      </c>
      <c r="F99" s="817">
        <v>36.880000000000003</v>
      </c>
      <c r="G99" s="818">
        <f t="shared" si="10"/>
        <v>44993.600000000006</v>
      </c>
      <c r="H99" s="819"/>
      <c r="I99" s="815">
        <v>41009</v>
      </c>
      <c r="J99" s="817">
        <v>36.06</v>
      </c>
      <c r="K99" s="821">
        <f t="shared" si="11"/>
        <v>43993.200000000004</v>
      </c>
      <c r="L99" s="822">
        <f t="shared" si="8"/>
        <v>-1000.4000000000015</v>
      </c>
      <c r="M99" s="852">
        <v>1</v>
      </c>
      <c r="N99" s="824">
        <f t="shared" si="9"/>
        <v>-1000.4000000000015</v>
      </c>
    </row>
    <row r="100" spans="1:14" s="845" customFormat="1" ht="15" customHeight="1" x14ac:dyDescent="0.2">
      <c r="A100" s="862" t="s">
        <v>513</v>
      </c>
      <c r="B100" s="814" t="s">
        <v>514</v>
      </c>
      <c r="C100" s="814" t="s">
        <v>53</v>
      </c>
      <c r="D100" s="815">
        <v>40980</v>
      </c>
      <c r="E100" s="816">
        <v>424</v>
      </c>
      <c r="F100" s="817">
        <v>54.51</v>
      </c>
      <c r="G100" s="818">
        <f t="shared" si="10"/>
        <v>23112.239999999998</v>
      </c>
      <c r="H100" s="819"/>
      <c r="I100" s="815">
        <v>41009</v>
      </c>
      <c r="J100" s="817">
        <v>53.48</v>
      </c>
      <c r="K100" s="821">
        <f t="shared" si="11"/>
        <v>22675.52</v>
      </c>
      <c r="L100" s="822">
        <f t="shared" si="8"/>
        <v>-436.71999999999753</v>
      </c>
      <c r="M100" s="852">
        <v>1</v>
      </c>
      <c r="N100" s="824">
        <f t="shared" si="9"/>
        <v>-436.71999999999753</v>
      </c>
    </row>
    <row r="101" spans="1:14" s="845" customFormat="1" ht="15" customHeight="1" x14ac:dyDescent="0.2">
      <c r="A101" s="862" t="s">
        <v>515</v>
      </c>
      <c r="B101" s="814" t="s">
        <v>516</v>
      </c>
      <c r="C101" s="814" t="s">
        <v>53</v>
      </c>
      <c r="D101" s="815">
        <v>40980</v>
      </c>
      <c r="E101" s="816">
        <v>120</v>
      </c>
      <c r="F101" s="817">
        <v>139.5</v>
      </c>
      <c r="G101" s="818">
        <f t="shared" si="10"/>
        <v>16740</v>
      </c>
      <c r="H101" s="819"/>
      <c r="I101" s="815">
        <v>41009</v>
      </c>
      <c r="J101" s="817">
        <v>134.30000000000001</v>
      </c>
      <c r="K101" s="821">
        <f t="shared" si="11"/>
        <v>16116.000000000002</v>
      </c>
      <c r="L101" s="822">
        <f t="shared" si="8"/>
        <v>-623.99999999999818</v>
      </c>
      <c r="M101" s="852">
        <v>1</v>
      </c>
      <c r="N101" s="824">
        <f t="shared" si="9"/>
        <v>-623.99999999999818</v>
      </c>
    </row>
    <row r="102" spans="1:14" s="845" customFormat="1" ht="15" customHeight="1" x14ac:dyDescent="0.2">
      <c r="A102" s="862" t="s">
        <v>517</v>
      </c>
      <c r="B102" s="814" t="s">
        <v>518</v>
      </c>
      <c r="C102" s="814" t="s">
        <v>53</v>
      </c>
      <c r="D102" s="815">
        <v>40980</v>
      </c>
      <c r="E102" s="816">
        <v>1923</v>
      </c>
      <c r="F102" s="817">
        <v>47.14</v>
      </c>
      <c r="G102" s="818">
        <f t="shared" si="10"/>
        <v>90650.22</v>
      </c>
      <c r="H102" s="819"/>
      <c r="I102" s="815">
        <v>41009</v>
      </c>
      <c r="J102" s="817">
        <v>46.95</v>
      </c>
      <c r="K102" s="821">
        <f t="shared" si="11"/>
        <v>90284.85</v>
      </c>
      <c r="L102" s="822">
        <f t="shared" si="8"/>
        <v>-365.36999999999534</v>
      </c>
      <c r="M102" s="852">
        <v>1</v>
      </c>
      <c r="N102" s="824">
        <f t="shared" si="9"/>
        <v>-365.36999999999534</v>
      </c>
    </row>
    <row r="103" spans="1:14" s="845" customFormat="1" ht="15" customHeight="1" x14ac:dyDescent="0.2">
      <c r="A103" s="862" t="s">
        <v>519</v>
      </c>
      <c r="B103" s="814" t="s">
        <v>520</v>
      </c>
      <c r="C103" s="814" t="s">
        <v>53</v>
      </c>
      <c r="D103" s="815">
        <v>40980</v>
      </c>
      <c r="E103" s="816">
        <v>746</v>
      </c>
      <c r="F103" s="817">
        <v>42.66</v>
      </c>
      <c r="G103" s="818">
        <f t="shared" si="10"/>
        <v>31824.359999999997</v>
      </c>
      <c r="H103" s="819"/>
      <c r="I103" s="815">
        <v>41009</v>
      </c>
      <c r="J103" s="817">
        <v>41.69</v>
      </c>
      <c r="K103" s="821">
        <f t="shared" si="11"/>
        <v>31100.739999999998</v>
      </c>
      <c r="L103" s="822">
        <f t="shared" si="8"/>
        <v>-723.61999999999898</v>
      </c>
      <c r="M103" s="852">
        <v>1</v>
      </c>
      <c r="N103" s="824">
        <f t="shared" si="9"/>
        <v>-723.61999999999898</v>
      </c>
    </row>
    <row r="104" spans="1:14" s="845" customFormat="1" ht="15" customHeight="1" x14ac:dyDescent="0.2">
      <c r="A104" s="862" t="s">
        <v>521</v>
      </c>
      <c r="B104" s="814" t="s">
        <v>522</v>
      </c>
      <c r="C104" s="814" t="s">
        <v>53</v>
      </c>
      <c r="D104" s="815">
        <v>40918</v>
      </c>
      <c r="E104" s="816">
        <v>369</v>
      </c>
      <c r="F104" s="817">
        <v>28.71</v>
      </c>
      <c r="G104" s="818">
        <f t="shared" si="10"/>
        <v>10593.99</v>
      </c>
      <c r="H104" s="819"/>
      <c r="I104" s="815">
        <v>41009</v>
      </c>
      <c r="J104" s="817">
        <v>30.39</v>
      </c>
      <c r="K104" s="821">
        <f t="shared" si="11"/>
        <v>11213.91</v>
      </c>
      <c r="L104" s="822">
        <f t="shared" si="8"/>
        <v>619.92000000000007</v>
      </c>
      <c r="M104" s="852">
        <v>1</v>
      </c>
      <c r="N104" s="824">
        <f t="shared" si="9"/>
        <v>619.92000000000007</v>
      </c>
    </row>
    <row r="105" spans="1:14" s="845" customFormat="1" ht="15" customHeight="1" x14ac:dyDescent="0.2">
      <c r="A105" s="862" t="s">
        <v>523</v>
      </c>
      <c r="B105" s="814" t="s">
        <v>524</v>
      </c>
      <c r="C105" s="814" t="s">
        <v>53</v>
      </c>
      <c r="D105" s="815">
        <v>40983</v>
      </c>
      <c r="E105" s="816">
        <v>1042</v>
      </c>
      <c r="F105" s="817">
        <v>30.88</v>
      </c>
      <c r="G105" s="818">
        <f t="shared" si="10"/>
        <v>32176.959999999999</v>
      </c>
      <c r="H105" s="819"/>
      <c r="I105" s="815">
        <v>41009</v>
      </c>
      <c r="J105" s="817">
        <v>29.92</v>
      </c>
      <c r="K105" s="821">
        <f t="shared" si="11"/>
        <v>31176.640000000003</v>
      </c>
      <c r="L105" s="822">
        <f t="shared" si="8"/>
        <v>-1000.3199999999961</v>
      </c>
      <c r="M105" s="852">
        <v>1</v>
      </c>
      <c r="N105" s="824">
        <f t="shared" si="9"/>
        <v>-1000.3199999999961</v>
      </c>
    </row>
    <row r="106" spans="1:14" s="845" customFormat="1" ht="15" customHeight="1" x14ac:dyDescent="0.2">
      <c r="A106" s="847" t="s">
        <v>525</v>
      </c>
      <c r="B106" s="842" t="s">
        <v>526</v>
      </c>
      <c r="C106" s="842" t="s">
        <v>78</v>
      </c>
      <c r="D106" s="846">
        <v>41008</v>
      </c>
      <c r="E106" s="847">
        <v>1281</v>
      </c>
      <c r="F106" s="848">
        <v>12.77</v>
      </c>
      <c r="G106" s="849">
        <f>SUM(E106*F106)</f>
        <v>16358.369999999999</v>
      </c>
      <c r="H106" s="850"/>
      <c r="I106" s="846">
        <v>41011</v>
      </c>
      <c r="J106" s="848">
        <v>13.55</v>
      </c>
      <c r="K106" s="851">
        <f>SUM(E106*J106)</f>
        <v>17357.55</v>
      </c>
      <c r="L106" s="853">
        <f>SUM(G106-K106)</f>
        <v>-999.18000000000029</v>
      </c>
      <c r="M106" s="852">
        <v>1</v>
      </c>
      <c r="N106" s="824">
        <f>SUM(G106-K106)*M106</f>
        <v>-999.18000000000029</v>
      </c>
    </row>
    <row r="107" spans="1:14" s="845" customFormat="1" ht="15" customHeight="1" x14ac:dyDescent="0.2">
      <c r="A107" s="862" t="s">
        <v>527</v>
      </c>
      <c r="B107" s="814" t="s">
        <v>528</v>
      </c>
      <c r="C107" s="814" t="s">
        <v>53</v>
      </c>
      <c r="D107" s="815">
        <v>40994</v>
      </c>
      <c r="E107" s="816">
        <v>337</v>
      </c>
      <c r="F107" s="817">
        <v>64.97</v>
      </c>
      <c r="G107" s="818">
        <f t="shared" si="10"/>
        <v>21894.89</v>
      </c>
      <c r="H107" s="819"/>
      <c r="I107" s="815">
        <v>41015</v>
      </c>
      <c r="J107" s="817">
        <v>62.35</v>
      </c>
      <c r="K107" s="821">
        <f t="shared" si="11"/>
        <v>21011.95</v>
      </c>
      <c r="L107" s="822">
        <f t="shared" ref="L107:L125" si="12">SUM(K107-G107)</f>
        <v>-882.93999999999869</v>
      </c>
      <c r="M107" s="852">
        <v>1</v>
      </c>
      <c r="N107" s="824">
        <f t="shared" ref="N107:N125" si="13">SUM(K107-G107)*M107</f>
        <v>-882.93999999999869</v>
      </c>
    </row>
    <row r="108" spans="1:14" s="845" customFormat="1" ht="15" customHeight="1" x14ac:dyDescent="0.2">
      <c r="A108" s="862" t="s">
        <v>458</v>
      </c>
      <c r="B108" s="814" t="s">
        <v>459</v>
      </c>
      <c r="C108" s="814" t="s">
        <v>53</v>
      </c>
      <c r="D108" s="815">
        <v>40898</v>
      </c>
      <c r="E108" s="816">
        <v>490</v>
      </c>
      <c r="F108" s="817">
        <v>44.21</v>
      </c>
      <c r="G108" s="818">
        <f t="shared" si="10"/>
        <v>21662.9</v>
      </c>
      <c r="H108" s="819"/>
      <c r="I108" s="815">
        <v>41015</v>
      </c>
      <c r="J108" s="817">
        <v>43.46</v>
      </c>
      <c r="K108" s="821">
        <f t="shared" si="11"/>
        <v>21295.4</v>
      </c>
      <c r="L108" s="822">
        <f t="shared" si="12"/>
        <v>-367.5</v>
      </c>
      <c r="M108" s="852">
        <v>1</v>
      </c>
      <c r="N108" s="824">
        <f t="shared" si="13"/>
        <v>-367.5</v>
      </c>
    </row>
    <row r="109" spans="1:14" s="845" customFormat="1" ht="15" customHeight="1" x14ac:dyDescent="0.2">
      <c r="A109" s="862" t="s">
        <v>529</v>
      </c>
      <c r="B109" s="814" t="s">
        <v>530</v>
      </c>
      <c r="C109" s="814" t="s">
        <v>53</v>
      </c>
      <c r="D109" s="815">
        <v>40953</v>
      </c>
      <c r="E109" s="816">
        <v>65</v>
      </c>
      <c r="F109" s="817">
        <v>572.12</v>
      </c>
      <c r="G109" s="818">
        <f t="shared" si="10"/>
        <v>37187.800000000003</v>
      </c>
      <c r="H109" s="819"/>
      <c r="I109" s="815">
        <v>41015</v>
      </c>
      <c r="J109" s="817">
        <v>709.6</v>
      </c>
      <c r="K109" s="821">
        <f t="shared" si="11"/>
        <v>46124</v>
      </c>
      <c r="L109" s="822">
        <f t="shared" si="12"/>
        <v>8936.1999999999971</v>
      </c>
      <c r="M109" s="852">
        <v>1</v>
      </c>
      <c r="N109" s="824">
        <f t="shared" si="13"/>
        <v>8936.1999999999971</v>
      </c>
    </row>
    <row r="110" spans="1:14" s="845" customFormat="1" ht="15" customHeight="1" x14ac:dyDescent="0.2">
      <c r="A110" s="862" t="s">
        <v>531</v>
      </c>
      <c r="B110" s="814" t="s">
        <v>532</v>
      </c>
      <c r="C110" s="814" t="s">
        <v>53</v>
      </c>
      <c r="D110" s="815">
        <v>40948</v>
      </c>
      <c r="E110" s="816">
        <v>473</v>
      </c>
      <c r="F110" s="817">
        <v>61.12</v>
      </c>
      <c r="G110" s="818">
        <f t="shared" si="10"/>
        <v>28909.759999999998</v>
      </c>
      <c r="H110" s="819"/>
      <c r="I110" s="815">
        <v>41015</v>
      </c>
      <c r="J110" s="817">
        <v>65.540000000000006</v>
      </c>
      <c r="K110" s="821">
        <f t="shared" si="11"/>
        <v>31000.420000000002</v>
      </c>
      <c r="L110" s="822">
        <f t="shared" si="12"/>
        <v>2090.6600000000035</v>
      </c>
      <c r="M110" s="852">
        <v>1</v>
      </c>
      <c r="N110" s="824">
        <f t="shared" si="13"/>
        <v>2090.6600000000035</v>
      </c>
    </row>
    <row r="111" spans="1:14" s="845" customFormat="1" ht="15" customHeight="1" x14ac:dyDescent="0.2">
      <c r="A111" s="862" t="s">
        <v>533</v>
      </c>
      <c r="B111" s="814" t="s">
        <v>534</v>
      </c>
      <c r="C111" s="814" t="s">
        <v>53</v>
      </c>
      <c r="D111" s="815">
        <v>41031</v>
      </c>
      <c r="E111" s="816">
        <v>3846</v>
      </c>
      <c r="F111" s="817">
        <v>22.17</v>
      </c>
      <c r="G111" s="818">
        <f t="shared" si="10"/>
        <v>85265.82</v>
      </c>
      <c r="H111" s="819"/>
      <c r="I111" s="815">
        <v>41033</v>
      </c>
      <c r="J111" s="817">
        <v>21.91</v>
      </c>
      <c r="K111" s="821">
        <f t="shared" si="11"/>
        <v>84265.86</v>
      </c>
      <c r="L111" s="822">
        <f t="shared" si="12"/>
        <v>-999.9600000000064</v>
      </c>
      <c r="M111" s="852">
        <v>1</v>
      </c>
      <c r="N111" s="824">
        <f t="shared" si="13"/>
        <v>-999.9600000000064</v>
      </c>
    </row>
    <row r="112" spans="1:14" s="845" customFormat="1" ht="15" customHeight="1" x14ac:dyDescent="0.2">
      <c r="A112" s="862" t="s">
        <v>535</v>
      </c>
      <c r="B112" s="814" t="s">
        <v>536</v>
      </c>
      <c r="C112" s="814" t="s">
        <v>53</v>
      </c>
      <c r="D112" s="815">
        <v>41026</v>
      </c>
      <c r="E112" s="816">
        <v>714</v>
      </c>
      <c r="F112" s="817">
        <v>55.7</v>
      </c>
      <c r="G112" s="818">
        <f t="shared" si="10"/>
        <v>39769.800000000003</v>
      </c>
      <c r="H112" s="819"/>
      <c r="I112" s="815">
        <v>41033</v>
      </c>
      <c r="J112" s="817">
        <v>54.32</v>
      </c>
      <c r="K112" s="821">
        <f t="shared" si="11"/>
        <v>38784.480000000003</v>
      </c>
      <c r="L112" s="822">
        <f t="shared" si="12"/>
        <v>-985.31999999999971</v>
      </c>
      <c r="M112" s="852">
        <v>1</v>
      </c>
      <c r="N112" s="824">
        <f t="shared" si="13"/>
        <v>-985.31999999999971</v>
      </c>
    </row>
    <row r="113" spans="1:14" s="845" customFormat="1" ht="15" customHeight="1" x14ac:dyDescent="0.2">
      <c r="A113" s="862" t="s">
        <v>537</v>
      </c>
      <c r="B113" s="814" t="s">
        <v>538</v>
      </c>
      <c r="C113" s="814" t="s">
        <v>53</v>
      </c>
      <c r="D113" s="815">
        <v>40940</v>
      </c>
      <c r="E113" s="816">
        <v>455</v>
      </c>
      <c r="F113" s="817">
        <v>83.53</v>
      </c>
      <c r="G113" s="818">
        <f t="shared" si="10"/>
        <v>38006.15</v>
      </c>
      <c r="H113" s="819"/>
      <c r="I113" s="815">
        <v>41033</v>
      </c>
      <c r="J113" s="817">
        <v>88.71</v>
      </c>
      <c r="K113" s="821">
        <f t="shared" si="11"/>
        <v>40363.049999999996</v>
      </c>
      <c r="L113" s="822">
        <f t="shared" si="12"/>
        <v>2356.8999999999942</v>
      </c>
      <c r="M113" s="852">
        <v>1</v>
      </c>
      <c r="N113" s="824">
        <f t="shared" si="13"/>
        <v>2356.8999999999942</v>
      </c>
    </row>
    <row r="114" spans="1:14" s="845" customFormat="1" ht="15" customHeight="1" x14ac:dyDescent="0.2">
      <c r="A114" s="862" t="s">
        <v>539</v>
      </c>
      <c r="B114" s="814" t="s">
        <v>540</v>
      </c>
      <c r="C114" s="814" t="s">
        <v>53</v>
      </c>
      <c r="D114" s="815">
        <v>40917</v>
      </c>
      <c r="E114" s="816">
        <v>450</v>
      </c>
      <c r="F114" s="817">
        <v>37.22</v>
      </c>
      <c r="G114" s="818">
        <f t="shared" si="10"/>
        <v>16749</v>
      </c>
      <c r="H114" s="819"/>
      <c r="I114" s="815">
        <v>41033</v>
      </c>
      <c r="J114" s="817">
        <v>41.23</v>
      </c>
      <c r="K114" s="821">
        <f t="shared" si="11"/>
        <v>18553.5</v>
      </c>
      <c r="L114" s="822">
        <f t="shared" si="12"/>
        <v>1804.5</v>
      </c>
      <c r="M114" s="852">
        <v>1</v>
      </c>
      <c r="N114" s="824">
        <f t="shared" si="13"/>
        <v>1804.5</v>
      </c>
    </row>
    <row r="115" spans="1:14" s="845" customFormat="1" ht="15" customHeight="1" x14ac:dyDescent="0.2">
      <c r="A115" s="862" t="s">
        <v>541</v>
      </c>
      <c r="B115" s="814" t="s">
        <v>542</v>
      </c>
      <c r="C115" s="814" t="s">
        <v>53</v>
      </c>
      <c r="D115" s="815">
        <v>41030</v>
      </c>
      <c r="E115" s="816">
        <v>1020</v>
      </c>
      <c r="F115" s="817">
        <v>33.89</v>
      </c>
      <c r="G115" s="818">
        <f t="shared" si="10"/>
        <v>34567.800000000003</v>
      </c>
      <c r="H115" s="819"/>
      <c r="I115" s="815">
        <v>41043</v>
      </c>
      <c r="J115" s="817">
        <v>32.909999999999997</v>
      </c>
      <c r="K115" s="821">
        <f t="shared" si="11"/>
        <v>33568.199999999997</v>
      </c>
      <c r="L115" s="822">
        <f t="shared" si="12"/>
        <v>-999.60000000000582</v>
      </c>
      <c r="M115" s="852">
        <v>1</v>
      </c>
      <c r="N115" s="824">
        <f t="shared" si="13"/>
        <v>-999.60000000000582</v>
      </c>
    </row>
    <row r="116" spans="1:14" s="845" customFormat="1" ht="15" customHeight="1" x14ac:dyDescent="0.2">
      <c r="A116" s="862" t="s">
        <v>543</v>
      </c>
      <c r="B116" s="814" t="s">
        <v>544</v>
      </c>
      <c r="C116" s="814" t="s">
        <v>53</v>
      </c>
      <c r="D116" s="815">
        <v>40945</v>
      </c>
      <c r="E116" s="816">
        <v>634</v>
      </c>
      <c r="F116" s="817">
        <v>29.97</v>
      </c>
      <c r="G116" s="818">
        <f t="shared" si="10"/>
        <v>19000.98</v>
      </c>
      <c r="H116" s="819"/>
      <c r="I116" s="815">
        <v>41044</v>
      </c>
      <c r="J116" s="817">
        <v>31.58</v>
      </c>
      <c r="K116" s="821">
        <f t="shared" si="11"/>
        <v>20021.719999999998</v>
      </c>
      <c r="L116" s="822">
        <f t="shared" si="12"/>
        <v>1020.739999999998</v>
      </c>
      <c r="M116" s="852">
        <v>1</v>
      </c>
      <c r="N116" s="824">
        <f t="shared" si="13"/>
        <v>1020.739999999998</v>
      </c>
    </row>
    <row r="117" spans="1:14" s="845" customFormat="1" ht="15" customHeight="1" x14ac:dyDescent="0.2">
      <c r="A117" s="816" t="s">
        <v>545</v>
      </c>
      <c r="B117" s="814" t="s">
        <v>546</v>
      </c>
      <c r="C117" s="814" t="s">
        <v>53</v>
      </c>
      <c r="D117" s="815">
        <v>40945</v>
      </c>
      <c r="E117" s="816">
        <v>388</v>
      </c>
      <c r="F117" s="817">
        <v>28.52</v>
      </c>
      <c r="G117" s="818">
        <f t="shared" si="10"/>
        <v>11065.76</v>
      </c>
      <c r="H117" s="819"/>
      <c r="I117" s="815">
        <v>41044</v>
      </c>
      <c r="J117" s="817">
        <v>31.09</v>
      </c>
      <c r="K117" s="821">
        <f t="shared" si="11"/>
        <v>12062.92</v>
      </c>
      <c r="L117" s="822">
        <f t="shared" si="12"/>
        <v>997.15999999999985</v>
      </c>
      <c r="M117" s="852">
        <v>1</v>
      </c>
      <c r="N117" s="824">
        <f t="shared" si="13"/>
        <v>997.15999999999985</v>
      </c>
    </row>
    <row r="118" spans="1:14" s="845" customFormat="1" ht="15" customHeight="1" x14ac:dyDescent="0.2">
      <c r="A118" s="862" t="s">
        <v>547</v>
      </c>
      <c r="B118" s="814" t="s">
        <v>548</v>
      </c>
      <c r="C118" s="814" t="s">
        <v>53</v>
      </c>
      <c r="D118" s="815">
        <v>40981</v>
      </c>
      <c r="E118" s="816">
        <v>980</v>
      </c>
      <c r="F118" s="817">
        <v>54.31</v>
      </c>
      <c r="G118" s="818">
        <f t="shared" si="10"/>
        <v>53223.8</v>
      </c>
      <c r="H118" s="819"/>
      <c r="I118" s="815">
        <v>41045</v>
      </c>
      <c r="J118" s="817">
        <v>57.53</v>
      </c>
      <c r="K118" s="821">
        <f t="shared" si="11"/>
        <v>56379.4</v>
      </c>
      <c r="L118" s="822">
        <f t="shared" si="12"/>
        <v>3155.5999999999985</v>
      </c>
      <c r="M118" s="852">
        <v>1</v>
      </c>
      <c r="N118" s="824">
        <f t="shared" si="13"/>
        <v>3155.5999999999985</v>
      </c>
    </row>
    <row r="119" spans="1:14" s="845" customFormat="1" ht="15" customHeight="1" x14ac:dyDescent="0.2">
      <c r="A119" s="816" t="s">
        <v>549</v>
      </c>
      <c r="B119" s="814" t="s">
        <v>550</v>
      </c>
      <c r="C119" s="814" t="s">
        <v>53</v>
      </c>
      <c r="D119" s="815">
        <v>41015</v>
      </c>
      <c r="E119" s="816">
        <v>300</v>
      </c>
      <c r="F119" s="817">
        <v>142.4</v>
      </c>
      <c r="G119" s="818">
        <f t="shared" si="10"/>
        <v>42720</v>
      </c>
      <c r="H119" s="819"/>
      <c r="I119" s="815">
        <v>41045</v>
      </c>
      <c r="J119" s="817">
        <v>142.9</v>
      </c>
      <c r="K119" s="821">
        <f t="shared" si="11"/>
        <v>42870</v>
      </c>
      <c r="L119" s="822">
        <f t="shared" si="12"/>
        <v>150</v>
      </c>
      <c r="M119" s="852">
        <v>1</v>
      </c>
      <c r="N119" s="824">
        <f t="shared" si="13"/>
        <v>150</v>
      </c>
    </row>
    <row r="120" spans="1:14" s="845" customFormat="1" ht="15" customHeight="1" x14ac:dyDescent="0.2">
      <c r="A120" s="862" t="s">
        <v>551</v>
      </c>
      <c r="B120" s="814" t="s">
        <v>552</v>
      </c>
      <c r="C120" s="814" t="s">
        <v>53</v>
      </c>
      <c r="D120" s="815">
        <v>40945</v>
      </c>
      <c r="E120" s="816">
        <v>376</v>
      </c>
      <c r="F120" s="817">
        <v>91.38</v>
      </c>
      <c r="G120" s="818">
        <f t="shared" si="10"/>
        <v>34358.879999999997</v>
      </c>
      <c r="H120" s="819"/>
      <c r="I120" s="815">
        <v>41046</v>
      </c>
      <c r="J120" s="817">
        <v>90.62</v>
      </c>
      <c r="K120" s="821">
        <f t="shared" si="11"/>
        <v>34073.120000000003</v>
      </c>
      <c r="L120" s="822">
        <f t="shared" si="12"/>
        <v>-285.75999999999476</v>
      </c>
      <c r="M120" s="852">
        <v>1</v>
      </c>
      <c r="N120" s="824">
        <f t="shared" si="13"/>
        <v>-285.75999999999476</v>
      </c>
    </row>
    <row r="121" spans="1:14" s="845" customFormat="1" ht="15" customHeight="1" x14ac:dyDescent="0.2">
      <c r="A121" s="816" t="s">
        <v>553</v>
      </c>
      <c r="B121" s="814" t="s">
        <v>554</v>
      </c>
      <c r="C121" s="814" t="s">
        <v>53</v>
      </c>
      <c r="D121" s="815">
        <v>41039</v>
      </c>
      <c r="E121" s="816">
        <v>400</v>
      </c>
      <c r="F121" s="817">
        <v>100.9</v>
      </c>
      <c r="G121" s="818">
        <f t="shared" si="10"/>
        <v>40360</v>
      </c>
      <c r="H121" s="819"/>
      <c r="I121" s="815">
        <v>41046</v>
      </c>
      <c r="J121" s="817">
        <v>98.39</v>
      </c>
      <c r="K121" s="821">
        <f t="shared" si="11"/>
        <v>39356</v>
      </c>
      <c r="L121" s="822">
        <f t="shared" si="12"/>
        <v>-1004</v>
      </c>
      <c r="M121" s="852">
        <v>1</v>
      </c>
      <c r="N121" s="824">
        <f t="shared" si="13"/>
        <v>-1004</v>
      </c>
    </row>
    <row r="122" spans="1:14" s="845" customFormat="1" ht="15" customHeight="1" x14ac:dyDescent="0.2">
      <c r="A122" s="816" t="s">
        <v>555</v>
      </c>
      <c r="B122" s="814" t="s">
        <v>478</v>
      </c>
      <c r="C122" s="814" t="s">
        <v>53</v>
      </c>
      <c r="D122" s="815">
        <v>41030</v>
      </c>
      <c r="E122" s="816">
        <v>414</v>
      </c>
      <c r="F122" s="817">
        <v>43.19</v>
      </c>
      <c r="G122" s="818">
        <f t="shared" si="10"/>
        <v>17880.66</v>
      </c>
      <c r="H122" s="819"/>
      <c r="I122" s="815">
        <v>41046</v>
      </c>
      <c r="J122" s="817">
        <v>40.97</v>
      </c>
      <c r="K122" s="821">
        <f t="shared" si="11"/>
        <v>16961.579999999998</v>
      </c>
      <c r="L122" s="822">
        <f t="shared" si="12"/>
        <v>-919.08000000000175</v>
      </c>
      <c r="M122" s="852">
        <v>1</v>
      </c>
      <c r="N122" s="824">
        <f t="shared" si="13"/>
        <v>-919.08000000000175</v>
      </c>
    </row>
    <row r="123" spans="1:14" s="845" customFormat="1" ht="15" customHeight="1" x14ac:dyDescent="0.2">
      <c r="A123" s="816" t="s">
        <v>556</v>
      </c>
      <c r="B123" s="814" t="s">
        <v>557</v>
      </c>
      <c r="C123" s="814" t="s">
        <v>53</v>
      </c>
      <c r="D123" s="815">
        <v>40945</v>
      </c>
      <c r="E123" s="816">
        <v>332</v>
      </c>
      <c r="F123" s="817">
        <v>59.13</v>
      </c>
      <c r="G123" s="818">
        <f t="shared" si="10"/>
        <v>19631.16</v>
      </c>
      <c r="H123" s="819"/>
      <c r="I123" s="815">
        <v>41046</v>
      </c>
      <c r="J123" s="817">
        <v>68.98</v>
      </c>
      <c r="K123" s="821">
        <f t="shared" si="11"/>
        <v>22901.360000000001</v>
      </c>
      <c r="L123" s="822">
        <f t="shared" si="12"/>
        <v>3270.2000000000007</v>
      </c>
      <c r="M123" s="852">
        <v>1</v>
      </c>
      <c r="N123" s="824">
        <f t="shared" si="13"/>
        <v>3270.2000000000007</v>
      </c>
    </row>
    <row r="124" spans="1:14" s="845" customFormat="1" ht="15" customHeight="1" x14ac:dyDescent="0.2">
      <c r="A124" s="816" t="s">
        <v>558</v>
      </c>
      <c r="B124" s="814" t="s">
        <v>559</v>
      </c>
      <c r="C124" s="814" t="s">
        <v>53</v>
      </c>
      <c r="D124" s="815">
        <v>41039</v>
      </c>
      <c r="E124" s="816">
        <v>1428</v>
      </c>
      <c r="F124" s="817">
        <v>34.29</v>
      </c>
      <c r="G124" s="818">
        <f t="shared" si="10"/>
        <v>48966.119999999995</v>
      </c>
      <c r="H124" s="819"/>
      <c r="I124" s="815">
        <v>41047</v>
      </c>
      <c r="J124" s="817">
        <v>33.590000000000003</v>
      </c>
      <c r="K124" s="821">
        <f t="shared" si="11"/>
        <v>47966.520000000004</v>
      </c>
      <c r="L124" s="822">
        <f t="shared" si="12"/>
        <v>-999.59999999999127</v>
      </c>
      <c r="M124" s="852">
        <v>1</v>
      </c>
      <c r="N124" s="824">
        <f t="shared" si="13"/>
        <v>-999.59999999999127</v>
      </c>
    </row>
    <row r="125" spans="1:14" s="845" customFormat="1" ht="15" customHeight="1" x14ac:dyDescent="0.2">
      <c r="A125" s="847" t="s">
        <v>560</v>
      </c>
      <c r="B125" s="842" t="s">
        <v>561</v>
      </c>
      <c r="C125" s="842" t="s">
        <v>78</v>
      </c>
      <c r="D125" s="846">
        <v>41043</v>
      </c>
      <c r="E125" s="847">
        <v>602</v>
      </c>
      <c r="F125" s="848">
        <v>54.91</v>
      </c>
      <c r="G125" s="849">
        <f>SUM(E125*F125)</f>
        <v>33055.82</v>
      </c>
      <c r="H125" s="850"/>
      <c r="I125" s="846">
        <v>41051</v>
      </c>
      <c r="J125" s="848">
        <v>56.83</v>
      </c>
      <c r="K125" s="851">
        <f>SUM(E125*J125)</f>
        <v>34211.659999999996</v>
      </c>
      <c r="L125" s="822">
        <f t="shared" si="12"/>
        <v>1155.8399999999965</v>
      </c>
      <c r="M125" s="852">
        <v>1</v>
      </c>
      <c r="N125" s="824">
        <f t="shared" si="13"/>
        <v>1155.8399999999965</v>
      </c>
    </row>
    <row r="126" spans="1:14" s="845" customFormat="1" ht="15" customHeight="1" x14ac:dyDescent="0.2">
      <c r="A126" s="816" t="s">
        <v>562</v>
      </c>
      <c r="B126" s="814" t="s">
        <v>563</v>
      </c>
      <c r="C126" s="814" t="s">
        <v>53</v>
      </c>
      <c r="D126" s="815">
        <v>41039</v>
      </c>
      <c r="E126" s="816">
        <v>1071</v>
      </c>
      <c r="F126" s="817">
        <v>47.21</v>
      </c>
      <c r="G126" s="818">
        <f t="shared" si="10"/>
        <v>50561.91</v>
      </c>
      <c r="H126" s="819"/>
      <c r="I126" s="815">
        <v>41052</v>
      </c>
      <c r="J126" s="817">
        <v>46.89</v>
      </c>
      <c r="K126" s="821">
        <f t="shared" si="11"/>
        <v>50219.19</v>
      </c>
      <c r="L126" s="822">
        <f>SUM(K126-G126)</f>
        <v>-342.72000000000116</v>
      </c>
      <c r="M126" s="852">
        <v>1</v>
      </c>
      <c r="N126" s="824">
        <f>SUM(G126-K126)*M126</f>
        <v>342.72000000000116</v>
      </c>
    </row>
    <row r="127" spans="1:14" s="845" customFormat="1" ht="15" customHeight="1" x14ac:dyDescent="0.2">
      <c r="A127" s="847" t="s">
        <v>564</v>
      </c>
      <c r="B127" s="842" t="s">
        <v>565</v>
      </c>
      <c r="C127" s="842" t="s">
        <v>78</v>
      </c>
      <c r="D127" s="846">
        <v>41044</v>
      </c>
      <c r="E127" s="847">
        <v>909</v>
      </c>
      <c r="F127" s="848">
        <v>31.06</v>
      </c>
      <c r="G127" s="849">
        <f>SUM(E127*F127)</f>
        <v>28233.539999999997</v>
      </c>
      <c r="H127" s="850"/>
      <c r="I127" s="846">
        <v>41058</v>
      </c>
      <c r="J127" s="848">
        <v>32.159999999999997</v>
      </c>
      <c r="K127" s="851">
        <f>SUM(E127*J127)</f>
        <v>29233.439999999999</v>
      </c>
      <c r="L127" s="853">
        <f>SUM(G127-K127)</f>
        <v>-999.90000000000146</v>
      </c>
      <c r="M127" s="852">
        <v>1</v>
      </c>
      <c r="N127" s="824">
        <f>SUM(G127-K127)*M127</f>
        <v>-999.90000000000146</v>
      </c>
    </row>
    <row r="128" spans="1:14" s="845" customFormat="1" ht="15" customHeight="1" x14ac:dyDescent="0.2">
      <c r="A128" s="862" t="s">
        <v>566</v>
      </c>
      <c r="B128" s="814" t="s">
        <v>567</v>
      </c>
      <c r="C128" s="814" t="s">
        <v>53</v>
      </c>
      <c r="D128" s="815">
        <v>40945</v>
      </c>
      <c r="E128" s="816">
        <v>333</v>
      </c>
      <c r="F128" s="817">
        <v>52.76</v>
      </c>
      <c r="G128" s="818">
        <f t="shared" si="10"/>
        <v>17569.079999999998</v>
      </c>
      <c r="H128" s="819"/>
      <c r="I128" s="815">
        <v>41061</v>
      </c>
      <c r="J128" s="817">
        <v>55.26</v>
      </c>
      <c r="K128" s="821">
        <f t="shared" si="11"/>
        <v>18401.579999999998</v>
      </c>
      <c r="L128" s="822">
        <f>SUM(K128-G128)</f>
        <v>832.5</v>
      </c>
      <c r="M128" s="852">
        <v>1</v>
      </c>
      <c r="N128" s="824">
        <f>SUM(K128-G128)*M128</f>
        <v>832.5</v>
      </c>
    </row>
    <row r="129" spans="1:14" s="845" customFormat="1" ht="15" customHeight="1" x14ac:dyDescent="0.2">
      <c r="A129" s="816" t="s">
        <v>568</v>
      </c>
      <c r="B129" s="814" t="s">
        <v>569</v>
      </c>
      <c r="C129" s="814" t="s">
        <v>53</v>
      </c>
      <c r="D129" s="815">
        <v>41029</v>
      </c>
      <c r="E129" s="816">
        <v>649</v>
      </c>
      <c r="F129" s="817">
        <v>65.319999999999993</v>
      </c>
      <c r="G129" s="818">
        <f t="shared" si="10"/>
        <v>42392.679999999993</v>
      </c>
      <c r="H129" s="819"/>
      <c r="I129" s="815">
        <v>41061</v>
      </c>
      <c r="J129" s="817">
        <v>63.78</v>
      </c>
      <c r="K129" s="821">
        <f t="shared" si="11"/>
        <v>41393.22</v>
      </c>
      <c r="L129" s="822">
        <f>SUM(K129-G129)</f>
        <v>-999.45999999999185</v>
      </c>
      <c r="M129" s="852">
        <v>1</v>
      </c>
      <c r="N129" s="824">
        <f>SUM(K129-G129)*M129</f>
        <v>-999.45999999999185</v>
      </c>
    </row>
    <row r="130" spans="1:14" s="845" customFormat="1" ht="15" customHeight="1" x14ac:dyDescent="0.2">
      <c r="A130" s="847" t="s">
        <v>570</v>
      </c>
      <c r="B130" s="842" t="s">
        <v>571</v>
      </c>
      <c r="C130" s="842" t="s">
        <v>78</v>
      </c>
      <c r="D130" s="846">
        <v>41058</v>
      </c>
      <c r="E130" s="847">
        <v>632</v>
      </c>
      <c r="F130" s="848">
        <v>36.69</v>
      </c>
      <c r="G130" s="849">
        <f>SUM(E130*F130)</f>
        <v>23188.079999999998</v>
      </c>
      <c r="H130" s="850"/>
      <c r="I130" s="846">
        <v>41067</v>
      </c>
      <c r="J130" s="848">
        <v>38.03</v>
      </c>
      <c r="K130" s="851">
        <f>SUM(E130*J130)</f>
        <v>24034.959999999999</v>
      </c>
      <c r="L130" s="853">
        <f>SUM(G130-K130)</f>
        <v>-846.88000000000102</v>
      </c>
      <c r="M130" s="852">
        <v>1</v>
      </c>
      <c r="N130" s="824">
        <f>SUM(G130-K130)*M130</f>
        <v>-846.88000000000102</v>
      </c>
    </row>
    <row r="131" spans="1:14" s="845" customFormat="1" ht="15" customHeight="1" x14ac:dyDescent="0.2">
      <c r="A131" s="847" t="s">
        <v>501</v>
      </c>
      <c r="B131" s="842" t="s">
        <v>502</v>
      </c>
      <c r="C131" s="842" t="s">
        <v>78</v>
      </c>
      <c r="D131" s="846">
        <v>41064</v>
      </c>
      <c r="E131" s="847">
        <v>472</v>
      </c>
      <c r="F131" s="848">
        <v>61.71</v>
      </c>
      <c r="G131" s="849">
        <f>SUM(E131*F131)</f>
        <v>29127.119999999999</v>
      </c>
      <c r="H131" s="850"/>
      <c r="I131" s="846">
        <v>41067</v>
      </c>
      <c r="J131" s="848">
        <v>64.13</v>
      </c>
      <c r="K131" s="851">
        <f>SUM(E131*J131)</f>
        <v>30269.359999999997</v>
      </c>
      <c r="L131" s="853">
        <f>SUM(G131-K131)</f>
        <v>-1142.239999999998</v>
      </c>
      <c r="M131" s="852">
        <v>1</v>
      </c>
      <c r="N131" s="824">
        <f>SUM(G131-K131)*M131</f>
        <v>-1142.239999999998</v>
      </c>
    </row>
    <row r="132" spans="1:14" s="845" customFormat="1" ht="15" customHeight="1" x14ac:dyDescent="0.2">
      <c r="A132" s="847" t="s">
        <v>572</v>
      </c>
      <c r="B132" s="842" t="s">
        <v>573</v>
      </c>
      <c r="C132" s="842" t="s">
        <v>78</v>
      </c>
      <c r="D132" s="846">
        <v>41064</v>
      </c>
      <c r="E132" s="847">
        <v>202</v>
      </c>
      <c r="F132" s="848">
        <v>120.3</v>
      </c>
      <c r="G132" s="849">
        <f>SUM(E132*F132)</f>
        <v>24300.6</v>
      </c>
      <c r="H132" s="850"/>
      <c r="I132" s="846">
        <v>41108</v>
      </c>
      <c r="J132" s="848">
        <v>127.7</v>
      </c>
      <c r="K132" s="851">
        <f>SUM(E132*J132)</f>
        <v>25795.4</v>
      </c>
      <c r="L132" s="853">
        <f>SUM(G132-K132)</f>
        <v>-1494.8000000000029</v>
      </c>
      <c r="M132" s="852">
        <v>1</v>
      </c>
      <c r="N132" s="824">
        <f>SUM(G132-K132)*M132</f>
        <v>-1494.8000000000029</v>
      </c>
    </row>
    <row r="133" spans="1:14" s="845" customFormat="1" ht="15" customHeight="1" x14ac:dyDescent="0.2">
      <c r="A133" s="847" t="s">
        <v>574</v>
      </c>
      <c r="B133" s="842" t="s">
        <v>575</v>
      </c>
      <c r="C133" s="842" t="s">
        <v>78</v>
      </c>
      <c r="D133" s="846">
        <v>41072</v>
      </c>
      <c r="E133" s="847">
        <v>467</v>
      </c>
      <c r="F133" s="848">
        <v>38.33</v>
      </c>
      <c r="G133" s="849">
        <f>SUM(E133*F133)</f>
        <v>17900.11</v>
      </c>
      <c r="H133" s="850"/>
      <c r="I133" s="846">
        <v>41109</v>
      </c>
      <c r="J133" s="848">
        <v>40.47</v>
      </c>
      <c r="K133" s="851">
        <f>SUM(E133*J133)</f>
        <v>18899.489999999998</v>
      </c>
      <c r="L133" s="853">
        <f>SUM(G133-K133)</f>
        <v>-999.37999999999738</v>
      </c>
      <c r="M133" s="852">
        <v>1</v>
      </c>
      <c r="N133" s="824">
        <f>SUM(G133-K133)*M133</f>
        <v>-999.37999999999738</v>
      </c>
    </row>
    <row r="134" spans="1:14" s="845" customFormat="1" ht="15" customHeight="1" x14ac:dyDescent="0.2">
      <c r="A134" s="862" t="s">
        <v>505</v>
      </c>
      <c r="B134" s="814" t="s">
        <v>506</v>
      </c>
      <c r="C134" s="814" t="s">
        <v>53</v>
      </c>
      <c r="D134" s="815">
        <v>41065</v>
      </c>
      <c r="E134" s="816">
        <v>999</v>
      </c>
      <c r="F134" s="817">
        <v>28.24</v>
      </c>
      <c r="G134" s="818">
        <f>SUM(E134*F134)</f>
        <v>28211.759999999998</v>
      </c>
      <c r="H134" s="819"/>
      <c r="I134" s="815">
        <v>41085</v>
      </c>
      <c r="J134" s="817">
        <v>27.62</v>
      </c>
      <c r="K134" s="821">
        <f>SUM(E134*J134)</f>
        <v>27592.38</v>
      </c>
      <c r="L134" s="822">
        <f>SUM(K134-G134)</f>
        <v>-619.37999999999738</v>
      </c>
      <c r="M134" s="852">
        <v>1</v>
      </c>
      <c r="N134" s="824">
        <f>SUM(K134-G134)*M134</f>
        <v>-619.37999999999738</v>
      </c>
    </row>
    <row r="135" spans="1:14" s="845" customFormat="1" ht="15" customHeight="1" x14ac:dyDescent="0.2">
      <c r="A135" s="847" t="s">
        <v>576</v>
      </c>
      <c r="B135" s="842" t="s">
        <v>577</v>
      </c>
      <c r="C135" s="842" t="s">
        <v>78</v>
      </c>
      <c r="D135" s="846">
        <v>41043</v>
      </c>
      <c r="E135" s="847">
        <v>658</v>
      </c>
      <c r="F135" s="848">
        <v>29.26</v>
      </c>
      <c r="G135" s="849">
        <f t="shared" ref="G135:G140" si="14">SUM(E135*F135)</f>
        <v>19253.080000000002</v>
      </c>
      <c r="H135" s="850"/>
      <c r="I135" s="846">
        <v>41088</v>
      </c>
      <c r="J135" s="848">
        <v>29.92</v>
      </c>
      <c r="K135" s="851">
        <f t="shared" ref="K135:K140" si="15">SUM(E135*J135)</f>
        <v>19687.36</v>
      </c>
      <c r="L135" s="853">
        <f t="shared" ref="L135:L140" si="16">SUM(G135-K135)</f>
        <v>-434.27999999999884</v>
      </c>
      <c r="M135" s="852">
        <v>1</v>
      </c>
      <c r="N135" s="824">
        <f t="shared" ref="N135:N140" si="17">SUM(G135-K135)*M135</f>
        <v>-434.27999999999884</v>
      </c>
    </row>
    <row r="136" spans="1:14" s="845" customFormat="1" ht="15" customHeight="1" x14ac:dyDescent="0.2">
      <c r="A136" s="847" t="s">
        <v>578</v>
      </c>
      <c r="B136" s="842" t="s">
        <v>579</v>
      </c>
      <c r="C136" s="842" t="s">
        <v>78</v>
      </c>
      <c r="D136" s="846">
        <v>41064</v>
      </c>
      <c r="E136" s="847">
        <v>998</v>
      </c>
      <c r="F136" s="848">
        <v>11.65</v>
      </c>
      <c r="G136" s="849">
        <f t="shared" si="14"/>
        <v>11626.7</v>
      </c>
      <c r="H136" s="850"/>
      <c r="I136" s="846">
        <v>41089</v>
      </c>
      <c r="J136" s="848">
        <v>12.91</v>
      </c>
      <c r="K136" s="851">
        <f t="shared" si="15"/>
        <v>12884.18</v>
      </c>
      <c r="L136" s="853">
        <f t="shared" si="16"/>
        <v>-1257.4799999999996</v>
      </c>
      <c r="M136" s="852">
        <v>1</v>
      </c>
      <c r="N136" s="824">
        <f t="shared" si="17"/>
        <v>-1257.4799999999996</v>
      </c>
    </row>
    <row r="137" spans="1:14" s="845" customFormat="1" ht="15" customHeight="1" x14ac:dyDescent="0.2">
      <c r="A137" s="847" t="s">
        <v>580</v>
      </c>
      <c r="B137" s="842" t="s">
        <v>542</v>
      </c>
      <c r="C137" s="842" t="s">
        <v>78</v>
      </c>
      <c r="D137" s="846">
        <v>41085</v>
      </c>
      <c r="E137" s="847">
        <v>1339</v>
      </c>
      <c r="F137" s="848">
        <v>30.87</v>
      </c>
      <c r="G137" s="849">
        <f t="shared" si="14"/>
        <v>41334.93</v>
      </c>
      <c r="H137" s="850"/>
      <c r="I137" s="846">
        <v>41089</v>
      </c>
      <c r="J137" s="848">
        <v>31.95</v>
      </c>
      <c r="K137" s="851">
        <f t="shared" si="15"/>
        <v>42781.049999999996</v>
      </c>
      <c r="L137" s="853">
        <f t="shared" si="16"/>
        <v>-1446.1199999999953</v>
      </c>
      <c r="M137" s="852">
        <v>1</v>
      </c>
      <c r="N137" s="824">
        <f t="shared" si="17"/>
        <v>-1446.1199999999953</v>
      </c>
    </row>
    <row r="138" spans="1:14" s="845" customFormat="1" ht="15" customHeight="1" x14ac:dyDescent="0.2">
      <c r="A138" s="847" t="s">
        <v>581</v>
      </c>
      <c r="B138" s="842" t="s">
        <v>582</v>
      </c>
      <c r="C138" s="842" t="s">
        <v>78</v>
      </c>
      <c r="D138" s="846">
        <v>41043</v>
      </c>
      <c r="E138" s="847">
        <v>590</v>
      </c>
      <c r="F138" s="848">
        <v>48.43</v>
      </c>
      <c r="G138" s="849">
        <f t="shared" si="14"/>
        <v>28573.7</v>
      </c>
      <c r="H138" s="850"/>
      <c r="I138" s="846">
        <v>41093</v>
      </c>
      <c r="J138" s="848">
        <v>50.97</v>
      </c>
      <c r="K138" s="851">
        <f t="shared" si="15"/>
        <v>30072.3</v>
      </c>
      <c r="L138" s="853">
        <f t="shared" si="16"/>
        <v>-1498.5999999999985</v>
      </c>
      <c r="M138" s="852">
        <v>1</v>
      </c>
      <c r="N138" s="824">
        <f t="shared" si="17"/>
        <v>-1498.5999999999985</v>
      </c>
    </row>
    <row r="139" spans="1:14" s="845" customFormat="1" ht="15" customHeight="1" x14ac:dyDescent="0.2">
      <c r="A139" s="847" t="s">
        <v>583</v>
      </c>
      <c r="B139" s="842" t="s">
        <v>584</v>
      </c>
      <c r="C139" s="842" t="s">
        <v>78</v>
      </c>
      <c r="D139" s="846">
        <v>41086</v>
      </c>
      <c r="E139" s="847">
        <v>735</v>
      </c>
      <c r="F139" s="848">
        <v>74.010000000000005</v>
      </c>
      <c r="G139" s="849">
        <f t="shared" si="14"/>
        <v>54397.350000000006</v>
      </c>
      <c r="H139" s="850"/>
      <c r="I139" s="846">
        <v>41093</v>
      </c>
      <c r="J139" s="848">
        <v>76.05</v>
      </c>
      <c r="K139" s="851">
        <f t="shared" si="15"/>
        <v>55896.75</v>
      </c>
      <c r="L139" s="853">
        <f t="shared" si="16"/>
        <v>-1499.3999999999942</v>
      </c>
      <c r="M139" s="852">
        <v>1</v>
      </c>
      <c r="N139" s="824">
        <f t="shared" si="17"/>
        <v>-1499.3999999999942</v>
      </c>
    </row>
    <row r="140" spans="1:14" s="845" customFormat="1" ht="15" customHeight="1" x14ac:dyDescent="0.2">
      <c r="A140" s="847" t="s">
        <v>372</v>
      </c>
      <c r="B140" s="842" t="s">
        <v>373</v>
      </c>
      <c r="C140" s="842" t="s">
        <v>78</v>
      </c>
      <c r="D140" s="846">
        <v>41044</v>
      </c>
      <c r="E140" s="847">
        <v>568</v>
      </c>
      <c r="F140" s="848">
        <v>23.96</v>
      </c>
      <c r="G140" s="849">
        <f t="shared" si="14"/>
        <v>13609.28</v>
      </c>
      <c r="H140" s="850"/>
      <c r="I140" s="846">
        <v>41094</v>
      </c>
      <c r="J140" s="848">
        <v>21.12</v>
      </c>
      <c r="K140" s="851">
        <f t="shared" si="15"/>
        <v>11996.16</v>
      </c>
      <c r="L140" s="822">
        <f t="shared" si="16"/>
        <v>1613.1200000000008</v>
      </c>
      <c r="M140" s="852">
        <v>1</v>
      </c>
      <c r="N140" s="824">
        <f t="shared" si="17"/>
        <v>1613.1200000000008</v>
      </c>
    </row>
    <row r="141" spans="1:14" s="845" customFormat="1" ht="15" customHeight="1" x14ac:dyDescent="0.2">
      <c r="A141" s="816" t="s">
        <v>585</v>
      </c>
      <c r="B141" s="814" t="s">
        <v>369</v>
      </c>
      <c r="C141" s="814" t="s">
        <v>53</v>
      </c>
      <c r="D141" s="815">
        <v>41100</v>
      </c>
      <c r="E141" s="816">
        <v>847</v>
      </c>
      <c r="F141" s="817">
        <v>34.74</v>
      </c>
      <c r="G141" s="818">
        <f t="shared" ref="G141:G147" si="18">SUM(E141*F141)</f>
        <v>29424.780000000002</v>
      </c>
      <c r="H141" s="819"/>
      <c r="I141" s="815">
        <v>41103</v>
      </c>
      <c r="J141" s="817">
        <v>33.56</v>
      </c>
      <c r="K141" s="821">
        <f t="shared" ref="K141:K147" si="19">SUM(E141*J141)</f>
        <v>28425.320000000003</v>
      </c>
      <c r="L141" s="822">
        <f>SUM(K141-G141)</f>
        <v>-999.45999999999913</v>
      </c>
      <c r="M141" s="852">
        <v>1</v>
      </c>
      <c r="N141" s="824">
        <f>SUM(K141-G141)*M141</f>
        <v>-999.45999999999913</v>
      </c>
    </row>
    <row r="142" spans="1:14" s="845" customFormat="1" ht="15" customHeight="1" x14ac:dyDescent="0.2">
      <c r="A142" s="847" t="s">
        <v>586</v>
      </c>
      <c r="B142" s="842" t="s">
        <v>587</v>
      </c>
      <c r="C142" s="842" t="s">
        <v>78</v>
      </c>
      <c r="D142" s="846">
        <v>41072</v>
      </c>
      <c r="E142" s="847">
        <v>372</v>
      </c>
      <c r="F142" s="848">
        <v>51.03</v>
      </c>
      <c r="G142" s="849">
        <f t="shared" si="18"/>
        <v>18983.16</v>
      </c>
      <c r="H142" s="850"/>
      <c r="I142" s="846">
        <v>41108</v>
      </c>
      <c r="J142" s="848">
        <v>55.11</v>
      </c>
      <c r="K142" s="851">
        <f t="shared" si="19"/>
        <v>20500.919999999998</v>
      </c>
      <c r="L142" s="853">
        <f>SUM(G142-K142)</f>
        <v>-1517.7599999999984</v>
      </c>
      <c r="M142" s="852">
        <v>1</v>
      </c>
      <c r="N142" s="824">
        <f>SUM(G142-K142)*M142</f>
        <v>-1517.7599999999984</v>
      </c>
    </row>
    <row r="143" spans="1:14" s="845" customFormat="1" ht="15" customHeight="1" x14ac:dyDescent="0.2">
      <c r="A143" s="862" t="s">
        <v>588</v>
      </c>
      <c r="B143" s="814" t="s">
        <v>589</v>
      </c>
      <c r="C143" s="814" t="s">
        <v>53</v>
      </c>
      <c r="D143" s="815">
        <v>40945</v>
      </c>
      <c r="E143" s="816">
        <v>1020</v>
      </c>
      <c r="F143" s="817">
        <v>22.07</v>
      </c>
      <c r="G143" s="818">
        <f t="shared" si="18"/>
        <v>22511.4</v>
      </c>
      <c r="H143" s="819"/>
      <c r="I143" s="815">
        <v>41126</v>
      </c>
      <c r="J143" s="817">
        <v>23.82</v>
      </c>
      <c r="K143" s="821">
        <f t="shared" si="19"/>
        <v>24296.400000000001</v>
      </c>
      <c r="L143" s="822">
        <f>SUM(K143-G143)</f>
        <v>1785</v>
      </c>
      <c r="M143" s="852">
        <v>1</v>
      </c>
      <c r="N143" s="824">
        <f>SUM(K143-G143)*M143</f>
        <v>1785</v>
      </c>
    </row>
    <row r="144" spans="1:14" s="845" customFormat="1" ht="15" customHeight="1" x14ac:dyDescent="0.2">
      <c r="A144" s="847" t="s">
        <v>590</v>
      </c>
      <c r="B144" s="842" t="s">
        <v>591</v>
      </c>
      <c r="C144" s="842" t="s">
        <v>78</v>
      </c>
      <c r="D144" s="846">
        <v>41072</v>
      </c>
      <c r="E144" s="847">
        <v>724</v>
      </c>
      <c r="F144" s="848">
        <v>24.81</v>
      </c>
      <c r="G144" s="849">
        <f t="shared" si="18"/>
        <v>17962.439999999999</v>
      </c>
      <c r="H144" s="850"/>
      <c r="I144" s="846">
        <v>41128</v>
      </c>
      <c r="J144" s="848">
        <v>25.5</v>
      </c>
      <c r="K144" s="851">
        <f t="shared" si="19"/>
        <v>18462</v>
      </c>
      <c r="L144" s="853">
        <f>SUM(G144-K144)</f>
        <v>-499.56000000000131</v>
      </c>
      <c r="M144" s="852">
        <v>1</v>
      </c>
      <c r="N144" s="824">
        <f>SUM(G144-K144)*M144</f>
        <v>-499.56000000000131</v>
      </c>
    </row>
    <row r="145" spans="1:14" s="845" customFormat="1" ht="15" customHeight="1" x14ac:dyDescent="0.2">
      <c r="A145" s="816" t="s">
        <v>592</v>
      </c>
      <c r="B145" s="814" t="s">
        <v>593</v>
      </c>
      <c r="C145" s="814" t="s">
        <v>53</v>
      </c>
      <c r="D145" s="815">
        <v>41089</v>
      </c>
      <c r="E145" s="816">
        <v>824</v>
      </c>
      <c r="F145" s="817">
        <v>58.91</v>
      </c>
      <c r="G145" s="818">
        <f t="shared" si="18"/>
        <v>48541.84</v>
      </c>
      <c r="H145" s="819"/>
      <c r="I145" s="815">
        <v>41128</v>
      </c>
      <c r="J145" s="817">
        <v>58.95</v>
      </c>
      <c r="K145" s="821">
        <f t="shared" si="19"/>
        <v>48574.8</v>
      </c>
      <c r="L145" s="822">
        <f>SUM(K145-G145)</f>
        <v>32.960000000006403</v>
      </c>
      <c r="M145" s="852">
        <v>1</v>
      </c>
      <c r="N145" s="824">
        <f>SUM(K145-G145)*M145</f>
        <v>32.960000000006403</v>
      </c>
    </row>
    <row r="146" spans="1:14" s="845" customFormat="1" ht="15" customHeight="1" x14ac:dyDescent="0.2">
      <c r="A146" s="847" t="s">
        <v>295</v>
      </c>
      <c r="B146" s="842" t="s">
        <v>296</v>
      </c>
      <c r="C146" s="842" t="s">
        <v>78</v>
      </c>
      <c r="D146" s="846">
        <v>41043</v>
      </c>
      <c r="E146" s="847">
        <v>1785</v>
      </c>
      <c r="F146" s="848">
        <v>8.9700000000000006</v>
      </c>
      <c r="G146" s="849">
        <f t="shared" si="18"/>
        <v>16011.45</v>
      </c>
      <c r="H146" s="850"/>
      <c r="I146" s="846">
        <v>41129</v>
      </c>
      <c r="J146" s="848">
        <v>8.7850000000000001</v>
      </c>
      <c r="K146" s="851">
        <f t="shared" si="19"/>
        <v>15681.225</v>
      </c>
      <c r="L146" s="822">
        <f>SUM(G146-K146)</f>
        <v>330.22500000000036</v>
      </c>
      <c r="M146" s="852">
        <v>1</v>
      </c>
      <c r="N146" s="824">
        <f>SUM(G146-K146)*M146</f>
        <v>330.22500000000036</v>
      </c>
    </row>
    <row r="147" spans="1:14" s="845" customFormat="1" ht="15" customHeight="1" x14ac:dyDescent="0.2">
      <c r="A147" s="847" t="s">
        <v>594</v>
      </c>
      <c r="B147" s="842" t="s">
        <v>595</v>
      </c>
      <c r="C147" s="842" t="s">
        <v>78</v>
      </c>
      <c r="D147" s="846">
        <v>41113</v>
      </c>
      <c r="E147" s="847">
        <v>4545</v>
      </c>
      <c r="F147" s="848">
        <v>5.37</v>
      </c>
      <c r="G147" s="849">
        <f t="shared" si="18"/>
        <v>24406.65</v>
      </c>
      <c r="H147" s="850"/>
      <c r="I147" s="846">
        <v>41130</v>
      </c>
      <c r="J147" s="848">
        <v>5.4859999999999998</v>
      </c>
      <c r="K147" s="851">
        <f t="shared" si="19"/>
        <v>24933.87</v>
      </c>
      <c r="L147" s="853">
        <f>SUM(G147-K147)</f>
        <v>-527.21999999999753</v>
      </c>
      <c r="M147" s="852">
        <v>1</v>
      </c>
      <c r="N147" s="824">
        <f>SUM(G147-K147)*M147</f>
        <v>-527.21999999999753</v>
      </c>
    </row>
    <row r="148" spans="1:14" s="845" customFormat="1" ht="15" customHeight="1" x14ac:dyDescent="0.2">
      <c r="A148" s="887" t="s">
        <v>596</v>
      </c>
      <c r="B148" s="814" t="s">
        <v>597</v>
      </c>
      <c r="C148" s="814" t="s">
        <v>53</v>
      </c>
      <c r="D148" s="815">
        <v>41071</v>
      </c>
      <c r="E148" s="816">
        <v>467</v>
      </c>
      <c r="F148" s="817">
        <v>55.8</v>
      </c>
      <c r="G148" s="818">
        <f t="shared" ref="G148:G193" si="20">SUM(E148*F148)</f>
        <v>26058.6</v>
      </c>
      <c r="H148" s="819"/>
      <c r="I148" s="815">
        <v>41134</v>
      </c>
      <c r="J148" s="817">
        <v>58.01</v>
      </c>
      <c r="K148" s="821">
        <f t="shared" ref="K148:K193" si="21">SUM(E148*J148)</f>
        <v>27090.67</v>
      </c>
      <c r="L148" s="822">
        <f t="shared" ref="L148:L164" si="22">SUM(K148-G148)</f>
        <v>1032.0699999999997</v>
      </c>
      <c r="M148" s="852">
        <v>1</v>
      </c>
      <c r="N148" s="824">
        <f t="shared" ref="N148:N164" si="23">SUM(K148-G148)*M148</f>
        <v>1032.0699999999997</v>
      </c>
    </row>
    <row r="149" spans="1:14" s="845" customFormat="1" ht="15" customHeight="1" x14ac:dyDescent="0.2">
      <c r="A149" s="816" t="s">
        <v>598</v>
      </c>
      <c r="B149" s="814" t="s">
        <v>599</v>
      </c>
      <c r="C149" s="814" t="s">
        <v>53</v>
      </c>
      <c r="D149" s="815">
        <v>41071</v>
      </c>
      <c r="E149" s="816">
        <v>1219</v>
      </c>
      <c r="F149" s="817">
        <v>20.87</v>
      </c>
      <c r="G149" s="818">
        <f t="shared" si="20"/>
        <v>25440.530000000002</v>
      </c>
      <c r="H149" s="819"/>
      <c r="I149" s="815">
        <v>41135</v>
      </c>
      <c r="J149" s="817">
        <v>20.59</v>
      </c>
      <c r="K149" s="821">
        <f t="shared" si="21"/>
        <v>25099.21</v>
      </c>
      <c r="L149" s="822">
        <f t="shared" si="22"/>
        <v>-341.32000000000335</v>
      </c>
      <c r="M149" s="852">
        <v>1</v>
      </c>
      <c r="N149" s="824">
        <f t="shared" si="23"/>
        <v>-341.32000000000335</v>
      </c>
    </row>
    <row r="150" spans="1:14" s="845" customFormat="1" ht="15" customHeight="1" x14ac:dyDescent="0.2">
      <c r="A150" s="862" t="s">
        <v>600</v>
      </c>
      <c r="B150" s="814" t="s">
        <v>601</v>
      </c>
      <c r="C150" s="814" t="s">
        <v>53</v>
      </c>
      <c r="D150" s="815">
        <v>41064</v>
      </c>
      <c r="E150" s="816">
        <v>1785</v>
      </c>
      <c r="F150" s="817">
        <v>22.4</v>
      </c>
      <c r="G150" s="818">
        <f t="shared" si="20"/>
        <v>39984</v>
      </c>
      <c r="H150" s="819"/>
      <c r="I150" s="815">
        <v>41142</v>
      </c>
      <c r="J150" s="817">
        <v>23.15</v>
      </c>
      <c r="K150" s="821">
        <f t="shared" si="21"/>
        <v>41322.75</v>
      </c>
      <c r="L150" s="822">
        <f t="shared" si="22"/>
        <v>1338.75</v>
      </c>
      <c r="M150" s="852">
        <v>1</v>
      </c>
      <c r="N150" s="824">
        <f t="shared" si="23"/>
        <v>1338.75</v>
      </c>
    </row>
    <row r="151" spans="1:14" s="845" customFormat="1" ht="15" customHeight="1" x14ac:dyDescent="0.2">
      <c r="A151" s="862" t="s">
        <v>602</v>
      </c>
      <c r="B151" s="814" t="s">
        <v>603</v>
      </c>
      <c r="C151" s="814" t="s">
        <v>53</v>
      </c>
      <c r="D151" s="815">
        <v>40945</v>
      </c>
      <c r="E151" s="816">
        <v>439</v>
      </c>
      <c r="F151" s="817">
        <v>53.96</v>
      </c>
      <c r="G151" s="818">
        <f t="shared" si="20"/>
        <v>23688.44</v>
      </c>
      <c r="H151" s="819"/>
      <c r="I151" s="815">
        <v>41144</v>
      </c>
      <c r="J151" s="817">
        <v>58.87</v>
      </c>
      <c r="K151" s="821">
        <f t="shared" si="21"/>
        <v>25843.93</v>
      </c>
      <c r="L151" s="822">
        <f t="shared" si="22"/>
        <v>2155.4900000000016</v>
      </c>
      <c r="M151" s="852">
        <v>1</v>
      </c>
      <c r="N151" s="824">
        <f t="shared" si="23"/>
        <v>2155.4900000000016</v>
      </c>
    </row>
    <row r="152" spans="1:14" s="845" customFormat="1" ht="15" customHeight="1" x14ac:dyDescent="0.2">
      <c r="A152" s="862" t="s">
        <v>604</v>
      </c>
      <c r="B152" s="814" t="s">
        <v>605</v>
      </c>
      <c r="C152" s="814" t="s">
        <v>53</v>
      </c>
      <c r="D152" s="815">
        <v>41058</v>
      </c>
      <c r="E152" s="816">
        <v>746</v>
      </c>
      <c r="F152" s="817">
        <v>45.17</v>
      </c>
      <c r="G152" s="818">
        <f t="shared" si="20"/>
        <v>33696.82</v>
      </c>
      <c r="H152" s="819"/>
      <c r="I152" s="815">
        <v>41144</v>
      </c>
      <c r="J152" s="817">
        <v>43.63</v>
      </c>
      <c r="K152" s="821">
        <f t="shared" si="21"/>
        <v>32547.980000000003</v>
      </c>
      <c r="L152" s="822">
        <f t="shared" si="22"/>
        <v>-1148.8399999999965</v>
      </c>
      <c r="M152" s="852">
        <v>1</v>
      </c>
      <c r="N152" s="824">
        <f t="shared" si="23"/>
        <v>-1148.8399999999965</v>
      </c>
    </row>
    <row r="153" spans="1:14" s="845" customFormat="1" ht="15" customHeight="1" x14ac:dyDescent="0.2">
      <c r="A153" s="816" t="s">
        <v>606</v>
      </c>
      <c r="B153" s="814" t="s">
        <v>538</v>
      </c>
      <c r="C153" s="814" t="s">
        <v>53</v>
      </c>
      <c r="D153" s="815">
        <v>41142</v>
      </c>
      <c r="E153" s="816">
        <v>376</v>
      </c>
      <c r="F153" s="817">
        <v>93.57</v>
      </c>
      <c r="G153" s="818">
        <f t="shared" si="20"/>
        <v>35182.32</v>
      </c>
      <c r="H153" s="819"/>
      <c r="I153" s="815">
        <v>41151</v>
      </c>
      <c r="J153" s="817">
        <v>90.91</v>
      </c>
      <c r="K153" s="821">
        <f t="shared" si="21"/>
        <v>34182.159999999996</v>
      </c>
      <c r="L153" s="822">
        <f t="shared" si="22"/>
        <v>-1000.1600000000035</v>
      </c>
      <c r="M153" s="852">
        <v>1</v>
      </c>
      <c r="N153" s="824">
        <f t="shared" si="23"/>
        <v>-1000.1600000000035</v>
      </c>
    </row>
    <row r="154" spans="1:14" s="845" customFormat="1" ht="15" customHeight="1" x14ac:dyDescent="0.2">
      <c r="A154" s="816" t="s">
        <v>607</v>
      </c>
      <c r="B154" s="814" t="s">
        <v>608</v>
      </c>
      <c r="C154" s="814" t="s">
        <v>53</v>
      </c>
      <c r="D154" s="815">
        <v>41089</v>
      </c>
      <c r="E154" s="816">
        <v>824</v>
      </c>
      <c r="F154" s="817">
        <v>64.03</v>
      </c>
      <c r="G154" s="818">
        <f t="shared" si="20"/>
        <v>52760.72</v>
      </c>
      <c r="H154" s="819"/>
      <c r="I154" s="815">
        <v>41156</v>
      </c>
      <c r="J154" s="817">
        <v>64.819999999999993</v>
      </c>
      <c r="K154" s="821">
        <f t="shared" si="21"/>
        <v>53411.679999999993</v>
      </c>
      <c r="L154" s="822">
        <f t="shared" si="22"/>
        <v>650.95999999999185</v>
      </c>
      <c r="M154" s="852">
        <v>1</v>
      </c>
      <c r="N154" s="824">
        <f t="shared" si="23"/>
        <v>650.95999999999185</v>
      </c>
    </row>
    <row r="155" spans="1:14" s="845" customFormat="1" ht="15" customHeight="1" x14ac:dyDescent="0.2">
      <c r="A155" s="816" t="s">
        <v>609</v>
      </c>
      <c r="B155" s="814" t="s">
        <v>610</v>
      </c>
      <c r="C155" s="814" t="s">
        <v>53</v>
      </c>
      <c r="D155" s="815">
        <v>41071</v>
      </c>
      <c r="E155" s="816">
        <v>431</v>
      </c>
      <c r="F155" s="817">
        <v>61.53</v>
      </c>
      <c r="G155" s="818">
        <f t="shared" si="20"/>
        <v>26519.43</v>
      </c>
      <c r="H155" s="819"/>
      <c r="I155" s="815">
        <v>41170</v>
      </c>
      <c r="J155" s="817">
        <v>62.95</v>
      </c>
      <c r="K155" s="821">
        <f t="shared" si="21"/>
        <v>27131.45</v>
      </c>
      <c r="L155" s="822">
        <f t="shared" si="22"/>
        <v>612.02000000000044</v>
      </c>
      <c r="M155" s="852">
        <v>1</v>
      </c>
      <c r="N155" s="824">
        <f t="shared" si="23"/>
        <v>612.02000000000044</v>
      </c>
    </row>
    <row r="156" spans="1:14" s="845" customFormat="1" ht="15" customHeight="1" x14ac:dyDescent="0.2">
      <c r="A156" s="816" t="s">
        <v>611</v>
      </c>
      <c r="B156" s="814" t="s">
        <v>221</v>
      </c>
      <c r="C156" s="814" t="s">
        <v>53</v>
      </c>
      <c r="D156" s="815">
        <v>41165</v>
      </c>
      <c r="E156" s="816">
        <v>179</v>
      </c>
      <c r="F156" s="817">
        <v>93</v>
      </c>
      <c r="G156" s="818">
        <f t="shared" si="20"/>
        <v>16647</v>
      </c>
      <c r="H156" s="819"/>
      <c r="I156" s="815">
        <v>41176</v>
      </c>
      <c r="J156" s="817">
        <v>87</v>
      </c>
      <c r="K156" s="821">
        <f t="shared" si="21"/>
        <v>15573</v>
      </c>
      <c r="L156" s="822">
        <f t="shared" si="22"/>
        <v>-1074</v>
      </c>
      <c r="M156" s="852">
        <v>1</v>
      </c>
      <c r="N156" s="824">
        <f t="shared" si="23"/>
        <v>-1074</v>
      </c>
    </row>
    <row r="157" spans="1:14" s="845" customFormat="1" ht="15" customHeight="1" x14ac:dyDescent="0.2">
      <c r="A157" s="816" t="s">
        <v>612</v>
      </c>
      <c r="B157" s="814" t="s">
        <v>613</v>
      </c>
      <c r="C157" s="814" t="s">
        <v>53</v>
      </c>
      <c r="D157" s="815">
        <v>41165</v>
      </c>
      <c r="E157" s="816">
        <v>562</v>
      </c>
      <c r="F157" s="817">
        <v>28.45</v>
      </c>
      <c r="G157" s="818">
        <f t="shared" si="20"/>
        <v>15988.9</v>
      </c>
      <c r="H157" s="819"/>
      <c r="I157" s="815">
        <v>41177</v>
      </c>
      <c r="J157" s="817">
        <v>27.47</v>
      </c>
      <c r="K157" s="821">
        <f t="shared" si="21"/>
        <v>15438.14</v>
      </c>
      <c r="L157" s="822">
        <f t="shared" si="22"/>
        <v>-550.76000000000022</v>
      </c>
      <c r="M157" s="852">
        <v>1</v>
      </c>
      <c r="N157" s="824">
        <f t="shared" si="23"/>
        <v>-550.76000000000022</v>
      </c>
    </row>
    <row r="158" spans="1:14" s="845" customFormat="1" ht="15" customHeight="1" x14ac:dyDescent="0.2">
      <c r="A158" s="816" t="s">
        <v>614</v>
      </c>
      <c r="B158" s="814" t="s">
        <v>615</v>
      </c>
      <c r="C158" s="814" t="s">
        <v>53</v>
      </c>
      <c r="D158" s="815">
        <v>41166</v>
      </c>
      <c r="E158" s="816">
        <v>270</v>
      </c>
      <c r="F158" s="817">
        <v>115.67</v>
      </c>
      <c r="G158" s="818">
        <f t="shared" si="20"/>
        <v>31230.9</v>
      </c>
      <c r="H158" s="819"/>
      <c r="I158" s="815">
        <v>41177</v>
      </c>
      <c r="J158" s="817">
        <v>111.99</v>
      </c>
      <c r="K158" s="821">
        <f t="shared" si="21"/>
        <v>30237.3</v>
      </c>
      <c r="L158" s="822">
        <f t="shared" si="22"/>
        <v>-993.60000000000218</v>
      </c>
      <c r="M158" s="852">
        <v>1</v>
      </c>
      <c r="N158" s="824">
        <f t="shared" si="23"/>
        <v>-993.60000000000218</v>
      </c>
    </row>
    <row r="159" spans="1:14" s="845" customFormat="1" ht="15" customHeight="1" x14ac:dyDescent="0.2">
      <c r="A159" s="816" t="s">
        <v>616</v>
      </c>
      <c r="B159" s="814" t="s">
        <v>617</v>
      </c>
      <c r="C159" s="814" t="s">
        <v>53</v>
      </c>
      <c r="D159" s="815">
        <v>41159</v>
      </c>
      <c r="E159" s="816">
        <v>263</v>
      </c>
      <c r="F159" s="817">
        <v>81.23</v>
      </c>
      <c r="G159" s="818">
        <f t="shared" si="20"/>
        <v>21363.49</v>
      </c>
      <c r="H159" s="819"/>
      <c r="I159" s="815">
        <v>41178</v>
      </c>
      <c r="J159" s="817">
        <v>78.42</v>
      </c>
      <c r="K159" s="821">
        <f t="shared" si="21"/>
        <v>20624.46</v>
      </c>
      <c r="L159" s="822">
        <f t="shared" si="22"/>
        <v>-739.03000000000247</v>
      </c>
      <c r="M159" s="852">
        <v>1</v>
      </c>
      <c r="N159" s="824">
        <f t="shared" si="23"/>
        <v>-739.03000000000247</v>
      </c>
    </row>
    <row r="160" spans="1:14" s="845" customFormat="1" ht="15" customHeight="1" x14ac:dyDescent="0.2">
      <c r="A160" s="816" t="s">
        <v>295</v>
      </c>
      <c r="B160" s="814" t="s">
        <v>296</v>
      </c>
      <c r="C160" s="814" t="s">
        <v>53</v>
      </c>
      <c r="D160" s="815">
        <v>41163</v>
      </c>
      <c r="E160" s="816">
        <v>1785</v>
      </c>
      <c r="F160" s="817">
        <v>9.34</v>
      </c>
      <c r="G160" s="818">
        <f t="shared" si="20"/>
        <v>16671.900000000001</v>
      </c>
      <c r="H160" s="819"/>
      <c r="I160" s="815">
        <v>41178</v>
      </c>
      <c r="J160" s="817">
        <v>8.7799999999999994</v>
      </c>
      <c r="K160" s="821">
        <f t="shared" si="21"/>
        <v>15672.3</v>
      </c>
      <c r="L160" s="822">
        <f t="shared" si="22"/>
        <v>-999.60000000000218</v>
      </c>
      <c r="M160" s="852">
        <v>1</v>
      </c>
      <c r="N160" s="824">
        <f t="shared" si="23"/>
        <v>-999.60000000000218</v>
      </c>
    </row>
    <row r="161" spans="1:14" s="845" customFormat="1" ht="15" customHeight="1" x14ac:dyDescent="0.2">
      <c r="A161" s="816" t="s">
        <v>618</v>
      </c>
      <c r="B161" s="814" t="s">
        <v>619</v>
      </c>
      <c r="C161" s="814" t="s">
        <v>53</v>
      </c>
      <c r="D161" s="815">
        <v>41165</v>
      </c>
      <c r="E161" s="816">
        <v>370</v>
      </c>
      <c r="F161" s="817">
        <v>34.47</v>
      </c>
      <c r="G161" s="818">
        <f t="shared" si="20"/>
        <v>12753.9</v>
      </c>
      <c r="H161" s="819"/>
      <c r="I161" s="815">
        <v>41178</v>
      </c>
      <c r="J161" s="817">
        <v>31.77</v>
      </c>
      <c r="K161" s="821">
        <f t="shared" si="21"/>
        <v>11754.9</v>
      </c>
      <c r="L161" s="822">
        <f t="shared" si="22"/>
        <v>-999</v>
      </c>
      <c r="M161" s="852">
        <v>1</v>
      </c>
      <c r="N161" s="824">
        <f t="shared" si="23"/>
        <v>-999</v>
      </c>
    </row>
    <row r="162" spans="1:14" s="845" customFormat="1" ht="15" customHeight="1" x14ac:dyDescent="0.2">
      <c r="A162" s="816" t="s">
        <v>620</v>
      </c>
      <c r="B162" s="814" t="s">
        <v>498</v>
      </c>
      <c r="C162" s="814" t="s">
        <v>53</v>
      </c>
      <c r="D162" s="815">
        <v>41166</v>
      </c>
      <c r="E162" s="816">
        <v>556</v>
      </c>
      <c r="F162" s="817">
        <v>52.9</v>
      </c>
      <c r="G162" s="818">
        <f t="shared" si="20"/>
        <v>29412.399999999998</v>
      </c>
      <c r="H162" s="819"/>
      <c r="I162" s="815">
        <v>41178</v>
      </c>
      <c r="J162" s="817">
        <v>51.1</v>
      </c>
      <c r="K162" s="821">
        <f t="shared" si="21"/>
        <v>28411.600000000002</v>
      </c>
      <c r="L162" s="822">
        <f t="shared" si="22"/>
        <v>-1000.7999999999956</v>
      </c>
      <c r="M162" s="852">
        <v>1</v>
      </c>
      <c r="N162" s="824">
        <f t="shared" si="23"/>
        <v>-1000.7999999999956</v>
      </c>
    </row>
    <row r="163" spans="1:14" s="845" customFormat="1" ht="15" customHeight="1" x14ac:dyDescent="0.2">
      <c r="A163" s="816" t="s">
        <v>507</v>
      </c>
      <c r="B163" s="814" t="s">
        <v>508</v>
      </c>
      <c r="C163" s="814" t="s">
        <v>53</v>
      </c>
      <c r="D163" s="815">
        <v>41158</v>
      </c>
      <c r="E163" s="816">
        <v>408</v>
      </c>
      <c r="F163" s="817">
        <v>57.74</v>
      </c>
      <c r="G163" s="818">
        <f t="shared" si="20"/>
        <v>23557.920000000002</v>
      </c>
      <c r="H163" s="819"/>
      <c r="I163" s="815">
        <v>41183</v>
      </c>
      <c r="J163" s="817">
        <v>55.45</v>
      </c>
      <c r="K163" s="821">
        <f t="shared" si="21"/>
        <v>22623.600000000002</v>
      </c>
      <c r="L163" s="822">
        <f t="shared" si="22"/>
        <v>-934.31999999999971</v>
      </c>
      <c r="M163" s="852">
        <v>1</v>
      </c>
      <c r="N163" s="824">
        <f t="shared" si="23"/>
        <v>-934.31999999999971</v>
      </c>
    </row>
    <row r="164" spans="1:14" s="845" customFormat="1" ht="15" customHeight="1" x14ac:dyDescent="0.2">
      <c r="A164" s="816" t="s">
        <v>621</v>
      </c>
      <c r="B164" s="814" t="s">
        <v>622</v>
      </c>
      <c r="C164" s="814" t="s">
        <v>53</v>
      </c>
      <c r="D164" s="815">
        <v>41171</v>
      </c>
      <c r="E164" s="816">
        <v>270</v>
      </c>
      <c r="F164" s="817">
        <v>91.53</v>
      </c>
      <c r="G164" s="818">
        <f t="shared" si="20"/>
        <v>24713.1</v>
      </c>
      <c r="H164" s="819"/>
      <c r="I164" s="815">
        <v>41185</v>
      </c>
      <c r="J164" s="817">
        <v>87.93</v>
      </c>
      <c r="K164" s="821">
        <f t="shared" si="21"/>
        <v>23741.100000000002</v>
      </c>
      <c r="L164" s="822">
        <f t="shared" si="22"/>
        <v>-971.99999999999636</v>
      </c>
      <c r="M164" s="852">
        <v>1</v>
      </c>
      <c r="N164" s="824">
        <f t="shared" si="23"/>
        <v>-971.99999999999636</v>
      </c>
    </row>
    <row r="165" spans="1:14" s="845" customFormat="1" ht="15" customHeight="1" x14ac:dyDescent="0.2">
      <c r="A165" s="847" t="s">
        <v>600</v>
      </c>
      <c r="B165" s="842" t="s">
        <v>601</v>
      </c>
      <c r="C165" s="842" t="s">
        <v>78</v>
      </c>
      <c r="D165" s="846">
        <v>41170</v>
      </c>
      <c r="E165" s="847">
        <v>463</v>
      </c>
      <c r="F165" s="848">
        <v>63.44</v>
      </c>
      <c r="G165" s="849">
        <f>SUM(E165*F165)</f>
        <v>29372.719999999998</v>
      </c>
      <c r="H165" s="850"/>
      <c r="I165" s="846">
        <v>41187</v>
      </c>
      <c r="J165" s="848">
        <v>65.599999999999994</v>
      </c>
      <c r="K165" s="851">
        <f>SUM(E165*J165)</f>
        <v>30372.799999999996</v>
      </c>
      <c r="L165" s="853">
        <f>SUM(G165-K165)</f>
        <v>-1000.0799999999981</v>
      </c>
      <c r="M165" s="852">
        <v>1</v>
      </c>
      <c r="N165" s="824">
        <f>SUM(G165-K165)*M165</f>
        <v>-1000.0799999999981</v>
      </c>
    </row>
    <row r="166" spans="1:14" s="845" customFormat="1" ht="15" customHeight="1" x14ac:dyDescent="0.2">
      <c r="A166" s="816" t="s">
        <v>623</v>
      </c>
      <c r="B166" s="814" t="s">
        <v>624</v>
      </c>
      <c r="C166" s="814" t="s">
        <v>53</v>
      </c>
      <c r="D166" s="815">
        <v>41166</v>
      </c>
      <c r="E166" s="816">
        <v>340</v>
      </c>
      <c r="F166" s="817">
        <v>59.64</v>
      </c>
      <c r="G166" s="818">
        <f t="shared" si="20"/>
        <v>20277.599999999999</v>
      </c>
      <c r="H166" s="819"/>
      <c r="I166" s="815">
        <v>41190</v>
      </c>
      <c r="J166" s="817">
        <v>57.19</v>
      </c>
      <c r="K166" s="821">
        <f t="shared" si="21"/>
        <v>19444.599999999999</v>
      </c>
      <c r="L166" s="822">
        <f>SUM(K166-G166)</f>
        <v>-833</v>
      </c>
      <c r="M166" s="852">
        <v>1</v>
      </c>
      <c r="N166" s="824">
        <f>SUM(K166-G166)*M166</f>
        <v>-833</v>
      </c>
    </row>
    <row r="167" spans="1:14" s="845" customFormat="1" ht="15" customHeight="1" x14ac:dyDescent="0.2">
      <c r="A167" s="816" t="s">
        <v>625</v>
      </c>
      <c r="B167" s="814" t="s">
        <v>626</v>
      </c>
      <c r="C167" s="814" t="s">
        <v>53</v>
      </c>
      <c r="D167" s="815">
        <v>41166</v>
      </c>
      <c r="E167" s="816">
        <v>667</v>
      </c>
      <c r="F167" s="817">
        <v>23.25</v>
      </c>
      <c r="G167" s="818">
        <f t="shared" si="20"/>
        <v>15507.75</v>
      </c>
      <c r="H167" s="819"/>
      <c r="I167" s="815">
        <v>41192</v>
      </c>
      <c r="J167" s="817">
        <v>21.77</v>
      </c>
      <c r="K167" s="821">
        <f t="shared" si="21"/>
        <v>14520.59</v>
      </c>
      <c r="L167" s="822">
        <f>SUM(K167-G167)</f>
        <v>-987.15999999999985</v>
      </c>
      <c r="M167" s="852">
        <v>1</v>
      </c>
      <c r="N167" s="824">
        <f>SUM(K167-G167)*M167</f>
        <v>-987.15999999999985</v>
      </c>
    </row>
    <row r="168" spans="1:14" s="845" customFormat="1" ht="15" customHeight="1" x14ac:dyDescent="0.2">
      <c r="A168" s="816" t="s">
        <v>495</v>
      </c>
      <c r="B168" s="814" t="s">
        <v>496</v>
      </c>
      <c r="C168" s="814" t="s">
        <v>53</v>
      </c>
      <c r="D168" s="815">
        <v>41162</v>
      </c>
      <c r="E168" s="816">
        <v>302</v>
      </c>
      <c r="F168" s="817">
        <v>114.27</v>
      </c>
      <c r="G168" s="818">
        <f t="shared" si="20"/>
        <v>34509.54</v>
      </c>
      <c r="H168" s="819"/>
      <c r="I168" s="815">
        <v>41192</v>
      </c>
      <c r="J168" s="817">
        <v>113.4</v>
      </c>
      <c r="K168" s="821">
        <f t="shared" si="21"/>
        <v>34246.800000000003</v>
      </c>
      <c r="L168" s="822">
        <f>SUM(K168-G168)</f>
        <v>-262.73999999999796</v>
      </c>
      <c r="M168" s="852">
        <v>1</v>
      </c>
      <c r="N168" s="824">
        <f>SUM(K168-G168)*M168</f>
        <v>-262.73999999999796</v>
      </c>
    </row>
    <row r="169" spans="1:14" s="845" customFormat="1" ht="15" customHeight="1" x14ac:dyDescent="0.2">
      <c r="A169" s="847" t="s">
        <v>627</v>
      </c>
      <c r="B169" s="842" t="s">
        <v>571</v>
      </c>
      <c r="C169" s="842" t="s">
        <v>78</v>
      </c>
      <c r="D169" s="846">
        <v>41162</v>
      </c>
      <c r="E169" s="847">
        <v>967</v>
      </c>
      <c r="F169" s="848">
        <v>36.9</v>
      </c>
      <c r="G169" s="849">
        <f>SUM(E169*F169)</f>
        <v>35682.299999999996</v>
      </c>
      <c r="H169" s="850"/>
      <c r="I169" s="846">
        <v>40463</v>
      </c>
      <c r="J169" s="848">
        <v>35.64</v>
      </c>
      <c r="K169" s="851">
        <f>SUM(E169*J169)</f>
        <v>34463.879999999997</v>
      </c>
      <c r="L169" s="822">
        <f>SUM(G169-K169)</f>
        <v>1218.4199999999983</v>
      </c>
      <c r="M169" s="852">
        <v>1</v>
      </c>
      <c r="N169" s="824">
        <f>SUM(G169-K169)*M169</f>
        <v>1218.4199999999983</v>
      </c>
    </row>
    <row r="170" spans="1:14" s="845" customFormat="1" ht="15" customHeight="1" x14ac:dyDescent="0.2">
      <c r="A170" s="816" t="s">
        <v>482</v>
      </c>
      <c r="B170" s="814" t="s">
        <v>483</v>
      </c>
      <c r="C170" s="814" t="s">
        <v>53</v>
      </c>
      <c r="D170" s="815">
        <v>41165</v>
      </c>
      <c r="E170" s="816">
        <v>714</v>
      </c>
      <c r="F170" s="817">
        <v>35.5</v>
      </c>
      <c r="G170" s="818">
        <f t="shared" si="20"/>
        <v>25347</v>
      </c>
      <c r="H170" s="819"/>
      <c r="I170" s="815">
        <v>41194</v>
      </c>
      <c r="J170" s="817">
        <v>34.1</v>
      </c>
      <c r="K170" s="821">
        <f t="shared" si="21"/>
        <v>24347.4</v>
      </c>
      <c r="L170" s="822">
        <f t="shared" ref="L170:L189" si="24">SUM(K170-G170)</f>
        <v>-999.59999999999854</v>
      </c>
      <c r="M170" s="852">
        <v>1</v>
      </c>
      <c r="N170" s="824">
        <f t="shared" ref="N170:N192" si="25">SUM(K170-G170)*M170</f>
        <v>-999.59999999999854</v>
      </c>
    </row>
    <row r="171" spans="1:14" s="845" customFormat="1" ht="15" customHeight="1" x14ac:dyDescent="0.2">
      <c r="A171" s="816" t="s">
        <v>523</v>
      </c>
      <c r="B171" s="814" t="s">
        <v>524</v>
      </c>
      <c r="C171" s="814" t="s">
        <v>53</v>
      </c>
      <c r="D171" s="815">
        <v>41165</v>
      </c>
      <c r="E171" s="816">
        <v>769</v>
      </c>
      <c r="F171" s="817">
        <v>33.39</v>
      </c>
      <c r="G171" s="818">
        <f t="shared" si="20"/>
        <v>25676.91</v>
      </c>
      <c r="H171" s="819"/>
      <c r="I171" s="815">
        <v>41198</v>
      </c>
      <c r="J171" s="817">
        <v>32.090000000000003</v>
      </c>
      <c r="K171" s="821">
        <f t="shared" si="21"/>
        <v>24677.210000000003</v>
      </c>
      <c r="L171" s="822">
        <f t="shared" si="24"/>
        <v>-999.69999999999709</v>
      </c>
      <c r="M171" s="852">
        <v>1</v>
      </c>
      <c r="N171" s="824">
        <f t="shared" si="25"/>
        <v>-999.69999999999709</v>
      </c>
    </row>
    <row r="172" spans="1:14" s="845" customFormat="1" ht="15" customHeight="1" x14ac:dyDescent="0.2">
      <c r="A172" s="816" t="s">
        <v>628</v>
      </c>
      <c r="B172" s="814" t="s">
        <v>629</v>
      </c>
      <c r="C172" s="814" t="s">
        <v>53</v>
      </c>
      <c r="D172" s="815">
        <v>41180</v>
      </c>
      <c r="E172" s="816">
        <v>94</v>
      </c>
      <c r="F172" s="817">
        <v>216.71</v>
      </c>
      <c r="G172" s="818">
        <f t="shared" si="20"/>
        <v>20370.740000000002</v>
      </c>
      <c r="H172" s="819"/>
      <c r="I172" s="815">
        <v>41198</v>
      </c>
      <c r="J172" s="817">
        <v>206.08</v>
      </c>
      <c r="K172" s="821">
        <f t="shared" si="21"/>
        <v>19371.52</v>
      </c>
      <c r="L172" s="822">
        <f t="shared" si="24"/>
        <v>-999.22000000000116</v>
      </c>
      <c r="M172" s="852">
        <v>1</v>
      </c>
      <c r="N172" s="824">
        <f t="shared" si="25"/>
        <v>-999.22000000000116</v>
      </c>
    </row>
    <row r="173" spans="1:14" s="845" customFormat="1" ht="15" customHeight="1" x14ac:dyDescent="0.2">
      <c r="A173" s="816" t="s">
        <v>630</v>
      </c>
      <c r="B173" s="814" t="s">
        <v>542</v>
      </c>
      <c r="C173" s="814" t="s">
        <v>53</v>
      </c>
      <c r="D173" s="815">
        <v>41180</v>
      </c>
      <c r="E173" s="816">
        <v>909</v>
      </c>
      <c r="F173" s="817">
        <v>35.200000000000003</v>
      </c>
      <c r="G173" s="818">
        <f t="shared" si="20"/>
        <v>31996.800000000003</v>
      </c>
      <c r="H173" s="819"/>
      <c r="I173" s="815">
        <v>41204</v>
      </c>
      <c r="J173" s="817">
        <v>34.159999999999997</v>
      </c>
      <c r="K173" s="821">
        <f t="shared" si="21"/>
        <v>31051.439999999999</v>
      </c>
      <c r="L173" s="822">
        <f t="shared" si="24"/>
        <v>-945.36000000000422</v>
      </c>
      <c r="M173" s="852">
        <v>1</v>
      </c>
      <c r="N173" s="824">
        <f t="shared" si="25"/>
        <v>-945.36000000000422</v>
      </c>
    </row>
    <row r="174" spans="1:14" s="845" customFormat="1" ht="15" customHeight="1" x14ac:dyDescent="0.2">
      <c r="A174" s="816" t="s">
        <v>631</v>
      </c>
      <c r="B174" s="814" t="s">
        <v>632</v>
      </c>
      <c r="C174" s="814" t="s">
        <v>53</v>
      </c>
      <c r="D174" s="815">
        <v>41165</v>
      </c>
      <c r="E174" s="816">
        <v>575</v>
      </c>
      <c r="F174" s="817">
        <v>68.72</v>
      </c>
      <c r="G174" s="818">
        <f t="shared" si="20"/>
        <v>39514</v>
      </c>
      <c r="H174" s="819"/>
      <c r="I174" s="815">
        <v>41205</v>
      </c>
      <c r="J174" s="817">
        <v>67.790000000000006</v>
      </c>
      <c r="K174" s="821">
        <f t="shared" si="21"/>
        <v>38979.25</v>
      </c>
      <c r="L174" s="822">
        <f t="shared" si="24"/>
        <v>-534.75</v>
      </c>
      <c r="M174" s="852">
        <v>1</v>
      </c>
      <c r="N174" s="824">
        <f t="shared" si="25"/>
        <v>-534.75</v>
      </c>
    </row>
    <row r="175" spans="1:14" s="845" customFormat="1" ht="15" customHeight="1" x14ac:dyDescent="0.2">
      <c r="A175" s="816" t="s">
        <v>633</v>
      </c>
      <c r="B175" s="814" t="s">
        <v>634</v>
      </c>
      <c r="C175" s="814" t="s">
        <v>53</v>
      </c>
      <c r="D175" s="815">
        <v>41165</v>
      </c>
      <c r="E175" s="816">
        <v>394</v>
      </c>
      <c r="F175" s="817">
        <v>59.64</v>
      </c>
      <c r="G175" s="818">
        <f t="shared" si="20"/>
        <v>23498.16</v>
      </c>
      <c r="H175" s="819"/>
      <c r="I175" s="815">
        <v>41204</v>
      </c>
      <c r="J175" s="817">
        <v>57.61</v>
      </c>
      <c r="K175" s="821">
        <f t="shared" si="21"/>
        <v>22698.34</v>
      </c>
      <c r="L175" s="822">
        <f t="shared" si="24"/>
        <v>-799.81999999999971</v>
      </c>
      <c r="M175" s="852">
        <v>1</v>
      </c>
      <c r="N175" s="824">
        <f t="shared" si="25"/>
        <v>-799.81999999999971</v>
      </c>
    </row>
    <row r="176" spans="1:14" s="845" customFormat="1" ht="15" customHeight="1" x14ac:dyDescent="0.2">
      <c r="A176" s="816" t="s">
        <v>499</v>
      </c>
      <c r="B176" s="814" t="s">
        <v>500</v>
      </c>
      <c r="C176" s="814" t="s">
        <v>53</v>
      </c>
      <c r="D176" s="815">
        <v>41165</v>
      </c>
      <c r="E176" s="816">
        <v>143</v>
      </c>
      <c r="F176" s="817">
        <v>157.69999999999999</v>
      </c>
      <c r="G176" s="818">
        <f t="shared" si="20"/>
        <v>22551.1</v>
      </c>
      <c r="H176" s="819"/>
      <c r="I176" s="815">
        <v>41205</v>
      </c>
      <c r="J176" s="817">
        <v>153.59</v>
      </c>
      <c r="K176" s="821">
        <f t="shared" si="21"/>
        <v>21963.37</v>
      </c>
      <c r="L176" s="822">
        <f t="shared" si="24"/>
        <v>-587.72999999999956</v>
      </c>
      <c r="M176" s="852">
        <v>1</v>
      </c>
      <c r="N176" s="824">
        <f t="shared" si="25"/>
        <v>-587.72999999999956</v>
      </c>
    </row>
    <row r="177" spans="1:14" s="845" customFormat="1" ht="15" customHeight="1" x14ac:dyDescent="0.2">
      <c r="A177" s="816" t="s">
        <v>635</v>
      </c>
      <c r="B177" s="814" t="s">
        <v>377</v>
      </c>
      <c r="C177" s="814" t="s">
        <v>53</v>
      </c>
      <c r="D177" s="815">
        <v>41162</v>
      </c>
      <c r="E177" s="816">
        <v>1208</v>
      </c>
      <c r="F177" s="817">
        <v>7.4</v>
      </c>
      <c r="G177" s="818">
        <f t="shared" si="20"/>
        <v>8939.2000000000007</v>
      </c>
      <c r="H177" s="819"/>
      <c r="I177" s="815">
        <v>41205</v>
      </c>
      <c r="J177" s="817">
        <v>6.57</v>
      </c>
      <c r="K177" s="821">
        <f t="shared" si="21"/>
        <v>7936.56</v>
      </c>
      <c r="L177" s="822">
        <f t="shared" si="24"/>
        <v>-1002.6400000000003</v>
      </c>
      <c r="M177" s="852">
        <v>1</v>
      </c>
      <c r="N177" s="824">
        <f t="shared" si="25"/>
        <v>-1002.6400000000003</v>
      </c>
    </row>
    <row r="178" spans="1:14" s="845" customFormat="1" ht="15" customHeight="1" x14ac:dyDescent="0.2">
      <c r="A178" s="816" t="s">
        <v>636</v>
      </c>
      <c r="B178" s="814" t="s">
        <v>637</v>
      </c>
      <c r="C178" s="814" t="s">
        <v>53</v>
      </c>
      <c r="D178" s="815">
        <v>41181</v>
      </c>
      <c r="E178" s="816">
        <v>1111</v>
      </c>
      <c r="F178" s="817">
        <v>31.23</v>
      </c>
      <c r="G178" s="818">
        <f t="shared" si="20"/>
        <v>34696.53</v>
      </c>
      <c r="H178" s="819"/>
      <c r="I178" s="815">
        <v>41205</v>
      </c>
      <c r="J178" s="817">
        <v>30.54</v>
      </c>
      <c r="K178" s="821">
        <f t="shared" si="21"/>
        <v>33929.94</v>
      </c>
      <c r="L178" s="822">
        <f t="shared" si="24"/>
        <v>-766.58999999999651</v>
      </c>
      <c r="M178" s="852">
        <v>1</v>
      </c>
      <c r="N178" s="824">
        <f t="shared" si="25"/>
        <v>-766.58999999999651</v>
      </c>
    </row>
    <row r="179" spans="1:14" s="845" customFormat="1" ht="15" customHeight="1" x14ac:dyDescent="0.2">
      <c r="A179" s="816" t="s">
        <v>527</v>
      </c>
      <c r="B179" s="814" t="s">
        <v>528</v>
      </c>
      <c r="C179" s="814" t="s">
        <v>53</v>
      </c>
      <c r="D179" s="815">
        <v>41158</v>
      </c>
      <c r="E179" s="816">
        <v>444</v>
      </c>
      <c r="F179" s="817">
        <v>63.33</v>
      </c>
      <c r="G179" s="818">
        <f t="shared" si="20"/>
        <v>28118.52</v>
      </c>
      <c r="H179" s="819"/>
      <c r="I179" s="815">
        <v>41207</v>
      </c>
      <c r="J179" s="817">
        <v>66.42</v>
      </c>
      <c r="K179" s="821">
        <f t="shared" si="21"/>
        <v>29490.48</v>
      </c>
      <c r="L179" s="822">
        <f t="shared" si="24"/>
        <v>1371.9599999999991</v>
      </c>
      <c r="M179" s="852">
        <v>1</v>
      </c>
      <c r="N179" s="824">
        <f t="shared" si="25"/>
        <v>1371.9599999999991</v>
      </c>
    </row>
    <row r="180" spans="1:14" s="845" customFormat="1" ht="15" customHeight="1" x14ac:dyDescent="0.2">
      <c r="A180" s="816" t="s">
        <v>638</v>
      </c>
      <c r="B180" s="814" t="s">
        <v>639</v>
      </c>
      <c r="C180" s="814" t="s">
        <v>53</v>
      </c>
      <c r="D180" s="815">
        <v>41165</v>
      </c>
      <c r="E180" s="816">
        <v>417</v>
      </c>
      <c r="F180" s="817">
        <v>31.12</v>
      </c>
      <c r="G180" s="818">
        <f t="shared" si="20"/>
        <v>12977.04</v>
      </c>
      <c r="H180" s="819"/>
      <c r="I180" s="815">
        <v>41207</v>
      </c>
      <c r="J180" s="817">
        <v>30.64</v>
      </c>
      <c r="K180" s="821">
        <f t="shared" si="21"/>
        <v>12776.880000000001</v>
      </c>
      <c r="L180" s="822">
        <f t="shared" si="24"/>
        <v>-200.15999999999985</v>
      </c>
      <c r="M180" s="852">
        <v>1</v>
      </c>
      <c r="N180" s="824">
        <f t="shared" si="25"/>
        <v>-200.15999999999985</v>
      </c>
    </row>
    <row r="181" spans="1:14" s="845" customFormat="1" ht="15" customHeight="1" x14ac:dyDescent="0.2">
      <c r="A181" s="816" t="s">
        <v>640</v>
      </c>
      <c r="B181" s="814" t="s">
        <v>641</v>
      </c>
      <c r="C181" s="814" t="s">
        <v>53</v>
      </c>
      <c r="D181" s="815">
        <v>41180</v>
      </c>
      <c r="E181" s="816">
        <v>278</v>
      </c>
      <c r="F181" s="817">
        <v>74.53</v>
      </c>
      <c r="G181" s="818">
        <f t="shared" si="20"/>
        <v>20719.34</v>
      </c>
      <c r="H181" s="819"/>
      <c r="I181" s="815">
        <v>41207</v>
      </c>
      <c r="J181" s="817">
        <v>72.77</v>
      </c>
      <c r="K181" s="821">
        <f t="shared" si="21"/>
        <v>20230.059999999998</v>
      </c>
      <c r="L181" s="822">
        <f t="shared" si="24"/>
        <v>-489.28000000000247</v>
      </c>
      <c r="M181" s="852">
        <v>1</v>
      </c>
      <c r="N181" s="824">
        <f t="shared" si="25"/>
        <v>-489.28000000000247</v>
      </c>
    </row>
    <row r="182" spans="1:14" s="845" customFormat="1" ht="15" customHeight="1" x14ac:dyDescent="0.2">
      <c r="A182" s="816" t="s">
        <v>642</v>
      </c>
      <c r="B182" s="814" t="s">
        <v>643</v>
      </c>
      <c r="C182" s="814" t="s">
        <v>53</v>
      </c>
      <c r="D182" s="815">
        <v>41162</v>
      </c>
      <c r="E182" s="816">
        <v>545</v>
      </c>
      <c r="F182" s="817">
        <v>87.11</v>
      </c>
      <c r="G182" s="818">
        <f t="shared" si="20"/>
        <v>47474.95</v>
      </c>
      <c r="H182" s="819"/>
      <c r="I182" s="815">
        <v>41208</v>
      </c>
      <c r="J182" s="817">
        <v>86.53</v>
      </c>
      <c r="K182" s="821">
        <f t="shared" si="21"/>
        <v>47158.85</v>
      </c>
      <c r="L182" s="822">
        <f t="shared" si="24"/>
        <v>-316.09999999999854</v>
      </c>
      <c r="M182" s="852">
        <v>1</v>
      </c>
      <c r="N182" s="824">
        <f t="shared" si="25"/>
        <v>-316.09999999999854</v>
      </c>
    </row>
    <row r="183" spans="1:14" s="845" customFormat="1" ht="15" customHeight="1" x14ac:dyDescent="0.2">
      <c r="A183" s="816" t="s">
        <v>644</v>
      </c>
      <c r="B183" s="814" t="s">
        <v>645</v>
      </c>
      <c r="C183" s="814" t="s">
        <v>53</v>
      </c>
      <c r="D183" s="815">
        <v>41159</v>
      </c>
      <c r="E183" s="816">
        <v>500</v>
      </c>
      <c r="F183" s="817">
        <v>75.44</v>
      </c>
      <c r="G183" s="818">
        <f t="shared" si="20"/>
        <v>37720</v>
      </c>
      <c r="H183" s="819"/>
      <c r="I183" s="815">
        <v>41215</v>
      </c>
      <c r="J183" s="817">
        <v>74.849999999999994</v>
      </c>
      <c r="K183" s="821">
        <f t="shared" si="21"/>
        <v>37425</v>
      </c>
      <c r="L183" s="822">
        <f t="shared" si="24"/>
        <v>-295</v>
      </c>
      <c r="M183" s="852">
        <v>1</v>
      </c>
      <c r="N183" s="824">
        <f t="shared" si="25"/>
        <v>-295</v>
      </c>
    </row>
    <row r="184" spans="1:14" s="845" customFormat="1" ht="15" customHeight="1" x14ac:dyDescent="0.2">
      <c r="A184" s="816" t="s">
        <v>646</v>
      </c>
      <c r="B184" s="814" t="s">
        <v>647</v>
      </c>
      <c r="C184" s="814" t="s">
        <v>53</v>
      </c>
      <c r="D184" s="815">
        <v>41180</v>
      </c>
      <c r="E184" s="816">
        <v>243</v>
      </c>
      <c r="F184" s="817">
        <v>38.1</v>
      </c>
      <c r="G184" s="818">
        <f t="shared" si="20"/>
        <v>9258.3000000000011</v>
      </c>
      <c r="H184" s="819"/>
      <c r="I184" s="815">
        <v>41215</v>
      </c>
      <c r="J184" s="817">
        <v>34</v>
      </c>
      <c r="K184" s="821">
        <f t="shared" si="21"/>
        <v>8262</v>
      </c>
      <c r="L184" s="822">
        <f t="shared" si="24"/>
        <v>-996.30000000000109</v>
      </c>
      <c r="M184" s="852">
        <v>1</v>
      </c>
      <c r="N184" s="824">
        <f t="shared" si="25"/>
        <v>-996.30000000000109</v>
      </c>
    </row>
    <row r="185" spans="1:14" s="845" customFormat="1" ht="15" customHeight="1" x14ac:dyDescent="0.2">
      <c r="A185" s="816" t="s">
        <v>648</v>
      </c>
      <c r="B185" s="814" t="s">
        <v>649</v>
      </c>
      <c r="C185" s="814" t="s">
        <v>53</v>
      </c>
      <c r="D185" s="815">
        <v>41180</v>
      </c>
      <c r="E185" s="816">
        <v>515</v>
      </c>
      <c r="F185" s="817">
        <v>21.15</v>
      </c>
      <c r="G185" s="818">
        <f t="shared" si="20"/>
        <v>10892.25</v>
      </c>
      <c r="H185" s="819"/>
      <c r="I185" s="815">
        <v>41215</v>
      </c>
      <c r="J185" s="817">
        <v>19.23</v>
      </c>
      <c r="K185" s="821">
        <f t="shared" si="21"/>
        <v>9903.4500000000007</v>
      </c>
      <c r="L185" s="822">
        <f t="shared" si="24"/>
        <v>-988.79999999999927</v>
      </c>
      <c r="M185" s="852">
        <v>1</v>
      </c>
      <c r="N185" s="824">
        <f t="shared" si="25"/>
        <v>-988.79999999999927</v>
      </c>
    </row>
    <row r="186" spans="1:14" s="845" customFormat="1" ht="15" customHeight="1" x14ac:dyDescent="0.2">
      <c r="A186" s="816" t="s">
        <v>650</v>
      </c>
      <c r="B186" s="814" t="s">
        <v>651</v>
      </c>
      <c r="C186" s="814" t="s">
        <v>53</v>
      </c>
      <c r="D186" s="815">
        <v>41180</v>
      </c>
      <c r="E186" s="816">
        <v>278</v>
      </c>
      <c r="F186" s="817">
        <v>85.63</v>
      </c>
      <c r="G186" s="818">
        <f t="shared" si="20"/>
        <v>23805.14</v>
      </c>
      <c r="H186" s="819"/>
      <c r="I186" s="815">
        <v>41227</v>
      </c>
      <c r="J186" s="817">
        <v>82.94</v>
      </c>
      <c r="K186" s="821">
        <f t="shared" si="21"/>
        <v>23057.32</v>
      </c>
      <c r="L186" s="822">
        <f t="shared" si="24"/>
        <v>-747.81999999999971</v>
      </c>
      <c r="M186" s="852">
        <v>1</v>
      </c>
      <c r="N186" s="824">
        <f t="shared" si="25"/>
        <v>-747.81999999999971</v>
      </c>
    </row>
    <row r="187" spans="1:14" s="845" customFormat="1" ht="15" customHeight="1" x14ac:dyDescent="0.2">
      <c r="A187" s="816" t="s">
        <v>652</v>
      </c>
      <c r="B187" s="814" t="s">
        <v>653</v>
      </c>
      <c r="C187" s="814" t="s">
        <v>53</v>
      </c>
      <c r="D187" s="815">
        <v>41180</v>
      </c>
      <c r="E187" s="816">
        <v>383</v>
      </c>
      <c r="F187" s="817">
        <v>78.73</v>
      </c>
      <c r="G187" s="818">
        <f t="shared" si="20"/>
        <v>30153.59</v>
      </c>
      <c r="H187" s="819"/>
      <c r="I187" s="815">
        <v>41227</v>
      </c>
      <c r="J187" s="817">
        <v>76.91</v>
      </c>
      <c r="K187" s="821">
        <f t="shared" si="21"/>
        <v>29456.53</v>
      </c>
      <c r="L187" s="822">
        <f t="shared" si="24"/>
        <v>-697.06000000000131</v>
      </c>
      <c r="M187" s="852">
        <v>1</v>
      </c>
      <c r="N187" s="824">
        <f t="shared" si="25"/>
        <v>-697.06000000000131</v>
      </c>
    </row>
    <row r="188" spans="1:14" s="845" customFormat="1" ht="15" customHeight="1" x14ac:dyDescent="0.2">
      <c r="A188" s="816" t="s">
        <v>654</v>
      </c>
      <c r="B188" s="814" t="s">
        <v>655</v>
      </c>
      <c r="C188" s="814" t="s">
        <v>53</v>
      </c>
      <c r="D188" s="815">
        <v>41180</v>
      </c>
      <c r="E188" s="816">
        <v>980</v>
      </c>
      <c r="F188" s="817">
        <v>32.49</v>
      </c>
      <c r="G188" s="818">
        <f t="shared" si="20"/>
        <v>31840.2</v>
      </c>
      <c r="H188" s="819"/>
      <c r="I188" s="815">
        <v>41228</v>
      </c>
      <c r="J188" s="817">
        <v>32.340000000000003</v>
      </c>
      <c r="K188" s="821">
        <f t="shared" si="21"/>
        <v>31693.200000000004</v>
      </c>
      <c r="L188" s="822">
        <f t="shared" si="24"/>
        <v>-146.99999999999636</v>
      </c>
      <c r="M188" s="852">
        <v>1</v>
      </c>
      <c r="N188" s="824">
        <f t="shared" si="25"/>
        <v>-146.99999999999636</v>
      </c>
    </row>
    <row r="189" spans="1:14" s="845" customFormat="1" ht="15" customHeight="1" x14ac:dyDescent="0.2">
      <c r="A189" s="816" t="s">
        <v>477</v>
      </c>
      <c r="B189" s="814" t="s">
        <v>478</v>
      </c>
      <c r="C189" s="814" t="s">
        <v>53</v>
      </c>
      <c r="D189" s="815">
        <v>41253</v>
      </c>
      <c r="E189" s="816">
        <v>416</v>
      </c>
      <c r="F189" s="817">
        <v>49.58</v>
      </c>
      <c r="G189" s="818">
        <f t="shared" si="20"/>
        <v>20625.28</v>
      </c>
      <c r="H189" s="819"/>
      <c r="I189" s="815">
        <v>41254</v>
      </c>
      <c r="J189" s="817">
        <v>47.18</v>
      </c>
      <c r="K189" s="821">
        <f t="shared" si="21"/>
        <v>19626.88</v>
      </c>
      <c r="L189" s="822">
        <f t="shared" si="24"/>
        <v>-998.39999999999782</v>
      </c>
      <c r="M189" s="852">
        <v>1</v>
      </c>
      <c r="N189" s="824">
        <f t="shared" si="25"/>
        <v>-998.39999999999782</v>
      </c>
    </row>
    <row r="190" spans="1:14" s="845" customFormat="1" ht="15" customHeight="1" x14ac:dyDescent="0.2">
      <c r="A190" s="847" t="s">
        <v>656</v>
      </c>
      <c r="B190" s="842" t="s">
        <v>657</v>
      </c>
      <c r="C190" s="842" t="s">
        <v>78</v>
      </c>
      <c r="D190" s="846">
        <v>41163</v>
      </c>
      <c r="E190" s="847">
        <v>1020</v>
      </c>
      <c r="F190" s="848">
        <v>32.479999999999997</v>
      </c>
      <c r="G190" s="849">
        <f>SUM(E190*F190)</f>
        <v>33129.599999999999</v>
      </c>
      <c r="H190" s="850"/>
      <c r="I190" s="846">
        <v>41263</v>
      </c>
      <c r="J190" s="848">
        <v>31.03</v>
      </c>
      <c r="K190" s="851">
        <f>SUM(E190*J190)</f>
        <v>31650.600000000002</v>
      </c>
      <c r="L190" s="822">
        <f>SUM(G190-K190)</f>
        <v>1478.9999999999964</v>
      </c>
      <c r="M190" s="852">
        <v>1</v>
      </c>
      <c r="N190" s="824">
        <f>SUM(G190-K190)*M190</f>
        <v>1478.9999999999964</v>
      </c>
    </row>
    <row r="191" spans="1:14" s="845" customFormat="1" ht="15" customHeight="1" x14ac:dyDescent="0.2">
      <c r="A191" s="816" t="s">
        <v>658</v>
      </c>
      <c r="B191" s="814" t="s">
        <v>659</v>
      </c>
      <c r="C191" s="814" t="s">
        <v>53</v>
      </c>
      <c r="D191" s="815">
        <v>41165</v>
      </c>
      <c r="E191" s="816">
        <v>455</v>
      </c>
      <c r="F191" s="817">
        <v>58.28</v>
      </c>
      <c r="G191" s="818">
        <f t="shared" si="20"/>
        <v>26517.4</v>
      </c>
      <c r="H191" s="819"/>
      <c r="I191" s="815">
        <v>41263</v>
      </c>
      <c r="J191" s="817">
        <v>61.59</v>
      </c>
      <c r="K191" s="821">
        <f t="shared" si="21"/>
        <v>28023.45</v>
      </c>
      <c r="L191" s="822">
        <f t="shared" ref="L191:L198" si="26">SUM(K191-G191)</f>
        <v>1506.0499999999993</v>
      </c>
      <c r="M191" s="852">
        <v>1</v>
      </c>
      <c r="N191" s="824">
        <f t="shared" si="25"/>
        <v>1506.0499999999993</v>
      </c>
    </row>
    <row r="192" spans="1:14" s="845" customFormat="1" ht="15" customHeight="1" x14ac:dyDescent="0.2">
      <c r="A192" s="816" t="s">
        <v>660</v>
      </c>
      <c r="B192" s="814" t="s">
        <v>661</v>
      </c>
      <c r="C192" s="814" t="s">
        <v>53</v>
      </c>
      <c r="D192" s="815">
        <v>41145</v>
      </c>
      <c r="E192" s="816">
        <v>757</v>
      </c>
      <c r="F192" s="817">
        <v>56.14</v>
      </c>
      <c r="G192" s="818">
        <f t="shared" si="20"/>
        <v>42497.98</v>
      </c>
      <c r="H192" s="819"/>
      <c r="I192" s="815">
        <v>41270</v>
      </c>
      <c r="J192" s="817">
        <v>57.5</v>
      </c>
      <c r="K192" s="821">
        <f t="shared" si="21"/>
        <v>43527.5</v>
      </c>
      <c r="L192" s="822">
        <f t="shared" si="26"/>
        <v>1029.5199999999968</v>
      </c>
      <c r="M192" s="852">
        <v>1</v>
      </c>
      <c r="N192" s="824">
        <f t="shared" si="25"/>
        <v>1029.5199999999968</v>
      </c>
    </row>
    <row r="193" spans="1:14" s="845" customFormat="1" ht="15" customHeight="1" x14ac:dyDescent="0.2">
      <c r="A193" s="816" t="s">
        <v>662</v>
      </c>
      <c r="B193" s="814" t="s">
        <v>663</v>
      </c>
      <c r="C193" s="814" t="s">
        <v>53</v>
      </c>
      <c r="D193" s="815">
        <v>41256</v>
      </c>
      <c r="E193" s="816">
        <v>1086</v>
      </c>
      <c r="F193" s="817">
        <v>41.52</v>
      </c>
      <c r="G193" s="818">
        <f t="shared" si="20"/>
        <v>45090.720000000001</v>
      </c>
      <c r="H193" s="819"/>
      <c r="I193" s="815">
        <v>41271</v>
      </c>
      <c r="J193" s="817">
        <v>40.6</v>
      </c>
      <c r="K193" s="821">
        <f t="shared" si="21"/>
        <v>44091.6</v>
      </c>
      <c r="L193" s="822">
        <f t="shared" si="26"/>
        <v>-999.12000000000262</v>
      </c>
      <c r="M193" s="852">
        <v>1</v>
      </c>
      <c r="N193" s="824">
        <f>SUM(K193-G193)*M193</f>
        <v>-999.12000000000262</v>
      </c>
    </row>
    <row r="194" spans="1:14" s="845" customFormat="1" ht="15" customHeight="1" x14ac:dyDescent="0.2">
      <c r="A194" s="816" t="s">
        <v>862</v>
      </c>
      <c r="B194" s="814" t="s">
        <v>540</v>
      </c>
      <c r="C194" s="814" t="s">
        <v>53</v>
      </c>
      <c r="D194" s="815">
        <v>41276</v>
      </c>
      <c r="E194" s="816">
        <v>667</v>
      </c>
      <c r="F194" s="817">
        <v>45.8</v>
      </c>
      <c r="G194" s="818">
        <f t="shared" ref="G194:G201" si="27">SUM(E194*F194)</f>
        <v>30548.6</v>
      </c>
      <c r="H194" s="819"/>
      <c r="I194" s="815">
        <v>41305</v>
      </c>
      <c r="J194" s="817">
        <v>44.76</v>
      </c>
      <c r="K194" s="821">
        <f t="shared" ref="K194:K201" si="28">SUM(E194*J194)</f>
        <v>29854.92</v>
      </c>
      <c r="L194" s="822">
        <f t="shared" si="26"/>
        <v>-693.68000000000029</v>
      </c>
      <c r="M194" s="852">
        <v>1</v>
      </c>
      <c r="N194" s="824">
        <f>SUM(K194-G194)*M194</f>
        <v>-693.68000000000029</v>
      </c>
    </row>
    <row r="195" spans="1:14" s="845" customFormat="1" ht="15" customHeight="1" x14ac:dyDescent="0.2">
      <c r="A195" s="816" t="s">
        <v>868</v>
      </c>
      <c r="B195" s="814" t="s">
        <v>869</v>
      </c>
      <c r="C195" s="814" t="s">
        <v>53</v>
      </c>
      <c r="D195" s="815">
        <v>41291</v>
      </c>
      <c r="E195" s="816">
        <v>559</v>
      </c>
      <c r="F195" s="817">
        <v>79.25</v>
      </c>
      <c r="G195" s="818">
        <f t="shared" si="27"/>
        <v>44300.75</v>
      </c>
      <c r="H195" s="819"/>
      <c r="I195" s="815">
        <v>41305</v>
      </c>
      <c r="J195" s="817">
        <v>76.569999999999993</v>
      </c>
      <c r="K195" s="821">
        <f t="shared" si="28"/>
        <v>42802.63</v>
      </c>
      <c r="L195" s="822">
        <f t="shared" si="26"/>
        <v>-1498.1200000000026</v>
      </c>
      <c r="M195" s="852">
        <v>1</v>
      </c>
      <c r="N195" s="824">
        <f>SUM(K195-G195)*M195</f>
        <v>-1498.1200000000026</v>
      </c>
    </row>
    <row r="196" spans="1:14" s="841" customFormat="1" ht="15" customHeight="1" x14ac:dyDescent="0.2">
      <c r="A196" s="816" t="s">
        <v>871</v>
      </c>
      <c r="B196" s="814" t="s">
        <v>872</v>
      </c>
      <c r="C196" s="814" t="s">
        <v>53</v>
      </c>
      <c r="D196" s="815">
        <v>41298</v>
      </c>
      <c r="E196" s="816">
        <v>600</v>
      </c>
      <c r="F196" s="817">
        <v>64.77</v>
      </c>
      <c r="G196" s="818">
        <f t="shared" si="27"/>
        <v>38862</v>
      </c>
      <c r="H196" s="856"/>
      <c r="I196" s="843">
        <v>41309</v>
      </c>
      <c r="J196" s="817">
        <v>62.27</v>
      </c>
      <c r="K196" s="821">
        <f t="shared" si="28"/>
        <v>37362</v>
      </c>
      <c r="L196" s="822">
        <f t="shared" si="26"/>
        <v>-1500</v>
      </c>
      <c r="M196" s="852">
        <v>1</v>
      </c>
      <c r="N196" s="824">
        <f>SUM(K196-G196)*M196</f>
        <v>-1500</v>
      </c>
    </row>
    <row r="197" spans="1:14" s="825" customFormat="1" ht="15" customHeight="1" x14ac:dyDescent="0.2">
      <c r="A197" s="862" t="s">
        <v>930</v>
      </c>
      <c r="B197" s="814" t="s">
        <v>931</v>
      </c>
      <c r="C197" s="814" t="s">
        <v>53</v>
      </c>
      <c r="D197" s="815">
        <v>41302</v>
      </c>
      <c r="E197" s="816">
        <v>943</v>
      </c>
      <c r="F197" s="817">
        <v>35.18</v>
      </c>
      <c r="G197" s="818">
        <f t="shared" si="27"/>
        <v>33174.74</v>
      </c>
      <c r="H197" s="819"/>
      <c r="I197" s="843">
        <v>41311</v>
      </c>
      <c r="J197" s="817">
        <v>34.119999999999997</v>
      </c>
      <c r="K197" s="821">
        <f t="shared" si="28"/>
        <v>32175.159999999996</v>
      </c>
      <c r="L197" s="822">
        <f t="shared" si="26"/>
        <v>-999.58000000000175</v>
      </c>
      <c r="M197" s="852">
        <v>1</v>
      </c>
      <c r="N197" s="824">
        <f>SUM(L197*M197)</f>
        <v>-999.58000000000175</v>
      </c>
    </row>
    <row r="198" spans="1:14" s="845" customFormat="1" ht="15" customHeight="1" x14ac:dyDescent="0.2">
      <c r="A198" s="816" t="s">
        <v>850</v>
      </c>
      <c r="B198" s="814" t="s">
        <v>851</v>
      </c>
      <c r="C198" s="814" t="s">
        <v>53</v>
      </c>
      <c r="D198" s="815">
        <v>41158</v>
      </c>
      <c r="E198" s="816">
        <v>364</v>
      </c>
      <c r="F198" s="817">
        <v>72.5</v>
      </c>
      <c r="G198" s="818">
        <f t="shared" si="27"/>
        <v>26390</v>
      </c>
      <c r="H198" s="819"/>
      <c r="I198" s="843">
        <v>41312</v>
      </c>
      <c r="J198" s="817">
        <v>77.430000000000007</v>
      </c>
      <c r="K198" s="821">
        <f t="shared" si="28"/>
        <v>28184.520000000004</v>
      </c>
      <c r="L198" s="822">
        <f t="shared" si="26"/>
        <v>1794.5200000000041</v>
      </c>
      <c r="M198" s="852">
        <v>1</v>
      </c>
      <c r="N198" s="824">
        <f>SUM(K198-G198)*M198</f>
        <v>1794.5200000000041</v>
      </c>
    </row>
    <row r="199" spans="1:14" s="845" customFormat="1" ht="15" customHeight="1" x14ac:dyDescent="0.2">
      <c r="A199" s="816" t="s">
        <v>863</v>
      </c>
      <c r="B199" s="814" t="s">
        <v>569</v>
      </c>
      <c r="C199" s="814" t="s">
        <v>53</v>
      </c>
      <c r="D199" s="815">
        <v>41276</v>
      </c>
      <c r="E199" s="816">
        <v>380</v>
      </c>
      <c r="F199" s="817">
        <v>78.39</v>
      </c>
      <c r="G199" s="818">
        <f t="shared" si="27"/>
        <v>29788.2</v>
      </c>
      <c r="H199" s="819"/>
      <c r="I199" s="843">
        <v>41319</v>
      </c>
      <c r="J199" s="817">
        <v>74.930000000000007</v>
      </c>
      <c r="K199" s="821">
        <f t="shared" si="28"/>
        <v>28473.4</v>
      </c>
      <c r="L199" s="822">
        <f t="shared" ref="L199:L204" si="29">SUM(K199-G199)</f>
        <v>-1314.7999999999993</v>
      </c>
      <c r="M199" s="852">
        <v>1</v>
      </c>
      <c r="N199" s="824">
        <f>SUM(K199-G199)*M199</f>
        <v>-1314.7999999999993</v>
      </c>
    </row>
    <row r="200" spans="1:14" s="825" customFormat="1" ht="15" customHeight="1" x14ac:dyDescent="0.2">
      <c r="A200" s="862" t="s">
        <v>604</v>
      </c>
      <c r="B200" s="814" t="s">
        <v>605</v>
      </c>
      <c r="C200" s="814" t="s">
        <v>53</v>
      </c>
      <c r="D200" s="815">
        <v>41304</v>
      </c>
      <c r="E200" s="816">
        <v>625</v>
      </c>
      <c r="F200" s="817">
        <v>47.28</v>
      </c>
      <c r="G200" s="818">
        <f t="shared" si="27"/>
        <v>29550</v>
      </c>
      <c r="H200" s="819"/>
      <c r="I200" s="843">
        <v>41319</v>
      </c>
      <c r="J200" s="817">
        <v>45.84</v>
      </c>
      <c r="K200" s="821">
        <f t="shared" si="28"/>
        <v>28650.000000000004</v>
      </c>
      <c r="L200" s="822">
        <f t="shared" si="29"/>
        <v>-899.99999999999636</v>
      </c>
      <c r="M200" s="852">
        <v>1</v>
      </c>
      <c r="N200" s="824">
        <f>SUM(L200*M200)</f>
        <v>-899.99999999999636</v>
      </c>
    </row>
    <row r="201" spans="1:14" s="825" customFormat="1" ht="15" customHeight="1" x14ac:dyDescent="0.2">
      <c r="A201" s="862" t="s">
        <v>1010</v>
      </c>
      <c r="B201" s="814" t="s">
        <v>619</v>
      </c>
      <c r="C201" s="814" t="s">
        <v>53</v>
      </c>
      <c r="D201" s="815">
        <v>41319</v>
      </c>
      <c r="E201" s="816">
        <v>728</v>
      </c>
      <c r="F201" s="817">
        <v>30.48</v>
      </c>
      <c r="G201" s="818">
        <f t="shared" si="27"/>
        <v>22189.439999999999</v>
      </c>
      <c r="H201" s="819"/>
      <c r="I201" s="843">
        <v>41320</v>
      </c>
      <c r="J201" s="817">
        <v>28.17</v>
      </c>
      <c r="K201" s="821">
        <f t="shared" si="28"/>
        <v>20507.760000000002</v>
      </c>
      <c r="L201" s="822">
        <f t="shared" si="29"/>
        <v>-1681.6799999999967</v>
      </c>
      <c r="M201" s="852">
        <v>1</v>
      </c>
      <c r="N201" s="824">
        <f>SUM(L201*M201)</f>
        <v>-1681.6799999999967</v>
      </c>
    </row>
    <row r="202" spans="1:14" s="825" customFormat="1" ht="15" customHeight="1" x14ac:dyDescent="0.2">
      <c r="A202" s="862" t="s">
        <v>980</v>
      </c>
      <c r="B202" s="814" t="s">
        <v>981</v>
      </c>
      <c r="C202" s="814" t="s">
        <v>53</v>
      </c>
      <c r="D202" s="815">
        <v>41317</v>
      </c>
      <c r="E202" s="816">
        <v>694</v>
      </c>
      <c r="F202" s="817">
        <v>44.33</v>
      </c>
      <c r="G202" s="818">
        <f t="shared" ref="G202:G211" si="30">SUM(E202*F202)</f>
        <v>30765.02</v>
      </c>
      <c r="H202" s="819"/>
      <c r="I202" s="843">
        <v>41326</v>
      </c>
      <c r="J202" s="817">
        <v>42.17</v>
      </c>
      <c r="K202" s="821">
        <f t="shared" ref="K202:K211" si="31">SUM(E202*J202)</f>
        <v>29265.98</v>
      </c>
      <c r="L202" s="822">
        <f t="shared" si="29"/>
        <v>-1499.0400000000009</v>
      </c>
      <c r="M202" s="852">
        <v>1</v>
      </c>
      <c r="N202" s="824">
        <f>SUM(L202*M202)</f>
        <v>-1499.0400000000009</v>
      </c>
    </row>
    <row r="203" spans="1:14" s="825" customFormat="1" ht="15" customHeight="1" x14ac:dyDescent="0.2">
      <c r="A203" s="862" t="s">
        <v>1005</v>
      </c>
      <c r="B203" s="814" t="s">
        <v>1038</v>
      </c>
      <c r="C203" s="814" t="s">
        <v>53</v>
      </c>
      <c r="D203" s="815">
        <v>41320</v>
      </c>
      <c r="E203" s="816">
        <v>676</v>
      </c>
      <c r="F203" s="817">
        <v>75.849999999999994</v>
      </c>
      <c r="G203" s="818">
        <f t="shared" si="30"/>
        <v>51274.6</v>
      </c>
      <c r="H203" s="819"/>
      <c r="I203" s="843">
        <v>41326</v>
      </c>
      <c r="J203" s="817">
        <v>73.63</v>
      </c>
      <c r="K203" s="821">
        <f t="shared" si="31"/>
        <v>49773.88</v>
      </c>
      <c r="L203" s="822">
        <f t="shared" si="29"/>
        <v>-1500.7200000000012</v>
      </c>
      <c r="M203" s="852">
        <v>1</v>
      </c>
      <c r="N203" s="824">
        <f>SUM(L203*M203)</f>
        <v>-1500.7200000000012</v>
      </c>
    </row>
    <row r="204" spans="1:14" s="845" customFormat="1" ht="15" customHeight="1" x14ac:dyDescent="0.2">
      <c r="A204" s="816" t="s">
        <v>848</v>
      </c>
      <c r="B204" s="814" t="s">
        <v>849</v>
      </c>
      <c r="C204" s="814" t="s">
        <v>53</v>
      </c>
      <c r="D204" s="815">
        <v>40900</v>
      </c>
      <c r="E204" s="816">
        <v>410</v>
      </c>
      <c r="F204" s="817">
        <v>89.06</v>
      </c>
      <c r="G204" s="818">
        <f t="shared" si="30"/>
        <v>36514.6</v>
      </c>
      <c r="H204" s="819"/>
      <c r="I204" s="843">
        <v>41327</v>
      </c>
      <c r="J204" s="817">
        <v>157.1</v>
      </c>
      <c r="K204" s="821">
        <f t="shared" si="31"/>
        <v>64411</v>
      </c>
      <c r="L204" s="822">
        <f t="shared" si="29"/>
        <v>27896.400000000001</v>
      </c>
      <c r="M204" s="852">
        <v>1</v>
      </c>
      <c r="N204" s="824">
        <f>SUM(K204-G204)*M204</f>
        <v>27896.400000000001</v>
      </c>
    </row>
    <row r="205" spans="1:14" s="845" customFormat="1" ht="15" customHeight="1" x14ac:dyDescent="0.2">
      <c r="A205" s="816" t="s">
        <v>870</v>
      </c>
      <c r="B205" s="814" t="s">
        <v>653</v>
      </c>
      <c r="C205" s="814" t="s">
        <v>53</v>
      </c>
      <c r="D205" s="815">
        <v>41295</v>
      </c>
      <c r="E205" s="816">
        <v>417</v>
      </c>
      <c r="F205" s="817">
        <v>83.87</v>
      </c>
      <c r="G205" s="818">
        <f t="shared" si="30"/>
        <v>34973.79</v>
      </c>
      <c r="H205" s="819"/>
      <c r="I205" s="843">
        <v>41330</v>
      </c>
      <c r="J205" s="817">
        <v>84.43</v>
      </c>
      <c r="K205" s="821">
        <f t="shared" si="31"/>
        <v>35207.310000000005</v>
      </c>
      <c r="L205" s="822">
        <f t="shared" ref="L205:L211" si="32">SUM(K205-G205)</f>
        <v>233.52000000000407</v>
      </c>
      <c r="M205" s="852">
        <v>1</v>
      </c>
      <c r="N205" s="824">
        <f>SUM(K205-G205)*M205</f>
        <v>233.52000000000407</v>
      </c>
    </row>
    <row r="206" spans="1:14" s="825" customFormat="1" ht="15" customHeight="1" x14ac:dyDescent="0.2">
      <c r="A206" s="862" t="s">
        <v>936</v>
      </c>
      <c r="B206" s="814" t="s">
        <v>647</v>
      </c>
      <c r="C206" s="814" t="s">
        <v>53</v>
      </c>
      <c r="D206" s="815">
        <v>41306</v>
      </c>
      <c r="E206" s="816">
        <v>707</v>
      </c>
      <c r="F206" s="817">
        <v>38.58</v>
      </c>
      <c r="G206" s="818">
        <f t="shared" si="30"/>
        <v>27276.059999999998</v>
      </c>
      <c r="H206" s="819"/>
      <c r="I206" s="843">
        <v>41331</v>
      </c>
      <c r="J206" s="817">
        <v>36.76</v>
      </c>
      <c r="K206" s="821">
        <f t="shared" si="31"/>
        <v>25989.32</v>
      </c>
      <c r="L206" s="822">
        <f t="shared" si="32"/>
        <v>-1286.739999999998</v>
      </c>
      <c r="M206" s="852">
        <v>1</v>
      </c>
      <c r="N206" s="824">
        <f>SUM(L206*M206)</f>
        <v>-1286.739999999998</v>
      </c>
    </row>
    <row r="207" spans="1:14" s="825" customFormat="1" ht="15" customHeight="1" x14ac:dyDescent="0.2">
      <c r="A207" s="862" t="s">
        <v>636</v>
      </c>
      <c r="B207" s="814" t="s">
        <v>1058</v>
      </c>
      <c r="C207" s="814" t="s">
        <v>53</v>
      </c>
      <c r="D207" s="815">
        <v>41330</v>
      </c>
      <c r="E207" s="816">
        <v>1111</v>
      </c>
      <c r="F207" s="817">
        <v>32.85</v>
      </c>
      <c r="G207" s="818">
        <f t="shared" si="30"/>
        <v>36496.35</v>
      </c>
      <c r="H207" s="819"/>
      <c r="I207" s="843">
        <v>41331</v>
      </c>
      <c r="J207" s="817">
        <v>31.95</v>
      </c>
      <c r="K207" s="821">
        <f t="shared" si="31"/>
        <v>35496.449999999997</v>
      </c>
      <c r="L207" s="822">
        <f t="shared" si="32"/>
        <v>-999.90000000000146</v>
      </c>
      <c r="M207" s="852">
        <v>1</v>
      </c>
      <c r="N207" s="824">
        <f>SUM(L207*M207)</f>
        <v>-999.90000000000146</v>
      </c>
    </row>
    <row r="208" spans="1:14" s="825" customFormat="1" ht="15" customHeight="1" x14ac:dyDescent="0.2">
      <c r="A208" s="862" t="s">
        <v>1034</v>
      </c>
      <c r="B208" s="814" t="s">
        <v>1035</v>
      </c>
      <c r="C208" s="814" t="s">
        <v>53</v>
      </c>
      <c r="D208" s="815">
        <v>41325</v>
      </c>
      <c r="E208" s="816">
        <v>714</v>
      </c>
      <c r="F208" s="817">
        <v>38.81</v>
      </c>
      <c r="G208" s="818">
        <f t="shared" si="30"/>
        <v>27710.34</v>
      </c>
      <c r="H208" s="819"/>
      <c r="I208" s="843">
        <v>41331</v>
      </c>
      <c r="J208" s="817">
        <v>37.03</v>
      </c>
      <c r="K208" s="821">
        <f t="shared" si="31"/>
        <v>26439.420000000002</v>
      </c>
      <c r="L208" s="822">
        <f t="shared" si="32"/>
        <v>-1270.9199999999983</v>
      </c>
      <c r="M208" s="852">
        <v>1</v>
      </c>
      <c r="N208" s="824">
        <f>SUM(L208*M208)</f>
        <v>-1270.9199999999983</v>
      </c>
    </row>
    <row r="209" spans="1:14" s="845" customFormat="1" ht="15" customHeight="1" x14ac:dyDescent="0.2">
      <c r="A209" s="816" t="s">
        <v>856</v>
      </c>
      <c r="B209" s="814" t="s">
        <v>857</v>
      </c>
      <c r="C209" s="814" t="s">
        <v>53</v>
      </c>
      <c r="D209" s="815">
        <v>41180</v>
      </c>
      <c r="E209" s="816">
        <v>1205</v>
      </c>
      <c r="F209" s="817">
        <v>17.190000000000001</v>
      </c>
      <c r="G209" s="818">
        <f t="shared" si="30"/>
        <v>20713.95</v>
      </c>
      <c r="H209" s="819"/>
      <c r="I209" s="843">
        <v>41332</v>
      </c>
      <c r="J209" s="817">
        <v>22.04</v>
      </c>
      <c r="K209" s="821">
        <f t="shared" si="31"/>
        <v>26558.2</v>
      </c>
      <c r="L209" s="822">
        <f t="shared" si="32"/>
        <v>5844.25</v>
      </c>
      <c r="M209" s="852">
        <v>1</v>
      </c>
      <c r="N209" s="824">
        <f>SUM(K209-G209)*M209</f>
        <v>5844.25</v>
      </c>
    </row>
    <row r="210" spans="1:14" s="825" customFormat="1" ht="15" customHeight="1" x14ac:dyDescent="0.2">
      <c r="A210" s="862" t="s">
        <v>1063</v>
      </c>
      <c r="B210" s="814" t="s">
        <v>1057</v>
      </c>
      <c r="C210" s="814" t="s">
        <v>53</v>
      </c>
      <c r="D210" s="815">
        <v>41330</v>
      </c>
      <c r="E210" s="816">
        <v>694</v>
      </c>
      <c r="F210" s="817">
        <v>45.05</v>
      </c>
      <c r="G210" s="818">
        <f t="shared" si="30"/>
        <v>31264.699999999997</v>
      </c>
      <c r="H210" s="819"/>
      <c r="I210" s="843">
        <v>41332</v>
      </c>
      <c r="J210" s="817">
        <v>43.61</v>
      </c>
      <c r="K210" s="821">
        <f t="shared" si="31"/>
        <v>30265.34</v>
      </c>
      <c r="L210" s="822">
        <f t="shared" si="32"/>
        <v>-999.35999999999694</v>
      </c>
      <c r="M210" s="852">
        <v>1</v>
      </c>
      <c r="N210" s="824">
        <f>SUM(L210*M210)</f>
        <v>-999.35999999999694</v>
      </c>
    </row>
    <row r="211" spans="1:14" s="825" customFormat="1" ht="15" customHeight="1" x14ac:dyDescent="0.2">
      <c r="A211" s="862" t="s">
        <v>971</v>
      </c>
      <c r="B211" s="814" t="s">
        <v>972</v>
      </c>
      <c r="C211" s="814" t="s">
        <v>53</v>
      </c>
      <c r="D211" s="815">
        <v>41312</v>
      </c>
      <c r="E211" s="816">
        <v>517</v>
      </c>
      <c r="F211" s="817">
        <v>97.65</v>
      </c>
      <c r="G211" s="818">
        <f t="shared" si="30"/>
        <v>50485.05</v>
      </c>
      <c r="H211" s="819"/>
      <c r="I211" s="843">
        <v>41333</v>
      </c>
      <c r="J211" s="817">
        <v>94.75</v>
      </c>
      <c r="K211" s="821">
        <f t="shared" si="31"/>
        <v>48985.75</v>
      </c>
      <c r="L211" s="822">
        <f t="shared" si="32"/>
        <v>-1499.3000000000029</v>
      </c>
      <c r="M211" s="852">
        <v>1</v>
      </c>
      <c r="N211" s="824">
        <f>SUM(L211*M211)</f>
        <v>-1499.3000000000029</v>
      </c>
    </row>
    <row r="212" spans="1:14" s="825" customFormat="1" ht="15" customHeight="1" x14ac:dyDescent="0.2">
      <c r="A212" s="862" t="s">
        <v>1065</v>
      </c>
      <c r="B212" s="814" t="s">
        <v>1056</v>
      </c>
      <c r="C212" s="814" t="s">
        <v>53</v>
      </c>
      <c r="D212" s="815">
        <v>41330</v>
      </c>
      <c r="E212" s="816">
        <v>1351</v>
      </c>
      <c r="F212" s="817">
        <v>30.94</v>
      </c>
      <c r="G212" s="818">
        <f t="shared" ref="G212:G217" si="33">SUM(E212*F212)</f>
        <v>41799.94</v>
      </c>
      <c r="H212" s="819"/>
      <c r="I212" s="843">
        <v>41347</v>
      </c>
      <c r="J212" s="817">
        <v>30.2</v>
      </c>
      <c r="K212" s="821">
        <f t="shared" ref="K212:K217" si="34">SUM(E212*J212)</f>
        <v>40800.199999999997</v>
      </c>
      <c r="L212" s="822">
        <f t="shared" ref="L212:L217" si="35">SUM(K212-G212)</f>
        <v>-999.74000000000524</v>
      </c>
      <c r="M212" s="852">
        <v>1</v>
      </c>
      <c r="N212" s="824">
        <f>SUM(L212*M212)</f>
        <v>-999.74000000000524</v>
      </c>
    </row>
    <row r="213" spans="1:14" s="825" customFormat="1" ht="15" customHeight="1" x14ac:dyDescent="0.2">
      <c r="A213" s="862" t="s">
        <v>1055</v>
      </c>
      <c r="B213" s="814" t="s">
        <v>532</v>
      </c>
      <c r="C213" s="814" t="s">
        <v>53</v>
      </c>
      <c r="D213" s="815">
        <v>41305</v>
      </c>
      <c r="E213" s="816">
        <v>535</v>
      </c>
      <c r="F213" s="817">
        <v>65.959999999999994</v>
      </c>
      <c r="G213" s="818">
        <f t="shared" si="33"/>
        <v>35288.6</v>
      </c>
      <c r="H213" s="819"/>
      <c r="I213" s="843">
        <v>41351</v>
      </c>
      <c r="J213" s="817">
        <v>64.05</v>
      </c>
      <c r="K213" s="821">
        <f t="shared" si="34"/>
        <v>34266.75</v>
      </c>
      <c r="L213" s="822">
        <f t="shared" si="35"/>
        <v>-1021.8499999999985</v>
      </c>
      <c r="M213" s="852">
        <v>1</v>
      </c>
      <c r="N213" s="824">
        <f>SUM(L213*M213)</f>
        <v>-1021.8499999999985</v>
      </c>
    </row>
    <row r="214" spans="1:14" s="845" customFormat="1" ht="15" customHeight="1" x14ac:dyDescent="0.2">
      <c r="A214" s="816" t="s">
        <v>860</v>
      </c>
      <c r="B214" s="814" t="s">
        <v>861</v>
      </c>
      <c r="C214" s="814" t="s">
        <v>53</v>
      </c>
      <c r="D214" s="815">
        <v>41254</v>
      </c>
      <c r="E214" s="816">
        <v>266</v>
      </c>
      <c r="F214" s="817">
        <v>81.44</v>
      </c>
      <c r="G214" s="818">
        <f t="shared" si="33"/>
        <v>21663.040000000001</v>
      </c>
      <c r="H214" s="819"/>
      <c r="I214" s="843">
        <v>41351</v>
      </c>
      <c r="J214" s="817">
        <v>86.9</v>
      </c>
      <c r="K214" s="821">
        <f t="shared" si="34"/>
        <v>23115.4</v>
      </c>
      <c r="L214" s="822">
        <f t="shared" si="35"/>
        <v>1452.3600000000006</v>
      </c>
      <c r="M214" s="852">
        <v>1</v>
      </c>
      <c r="N214" s="824">
        <f>SUM(K214-G214)*M214</f>
        <v>1452.3600000000006</v>
      </c>
    </row>
    <row r="215" spans="1:14" s="825" customFormat="1" ht="15" customHeight="1" x14ac:dyDescent="0.2">
      <c r="A215" s="862" t="s">
        <v>475</v>
      </c>
      <c r="B215" s="814" t="s">
        <v>476</v>
      </c>
      <c r="C215" s="814" t="s">
        <v>53</v>
      </c>
      <c r="D215" s="815">
        <v>41337</v>
      </c>
      <c r="E215" s="816">
        <v>707</v>
      </c>
      <c r="F215" s="817">
        <v>65.05</v>
      </c>
      <c r="G215" s="818">
        <f t="shared" si="33"/>
        <v>45990.35</v>
      </c>
      <c r="H215" s="819"/>
      <c r="I215" s="843">
        <v>41351</v>
      </c>
      <c r="J215" s="817">
        <v>64.47</v>
      </c>
      <c r="K215" s="821">
        <f t="shared" si="34"/>
        <v>45580.29</v>
      </c>
      <c r="L215" s="822">
        <f t="shared" si="35"/>
        <v>-410.05999999999767</v>
      </c>
      <c r="M215" s="852">
        <v>1</v>
      </c>
      <c r="N215" s="824">
        <f t="shared" ref="N215:N221" si="36">SUM(L215*M215)</f>
        <v>-410.05999999999767</v>
      </c>
    </row>
    <row r="216" spans="1:14" s="825" customFormat="1" ht="15" customHeight="1" x14ac:dyDescent="0.2">
      <c r="A216" s="862" t="s">
        <v>1090</v>
      </c>
      <c r="B216" s="814" t="s">
        <v>1091</v>
      </c>
      <c r="C216" s="814" t="s">
        <v>53</v>
      </c>
      <c r="D216" s="815">
        <v>41339</v>
      </c>
      <c r="E216" s="816">
        <v>375</v>
      </c>
      <c r="F216" s="817">
        <v>90.32</v>
      </c>
      <c r="G216" s="818">
        <f t="shared" si="33"/>
        <v>33870</v>
      </c>
      <c r="H216" s="819"/>
      <c r="I216" s="843">
        <v>41352</v>
      </c>
      <c r="J216" s="817">
        <v>90.35</v>
      </c>
      <c r="K216" s="821">
        <f t="shared" si="34"/>
        <v>33881.25</v>
      </c>
      <c r="L216" s="822">
        <f t="shared" si="35"/>
        <v>11.25</v>
      </c>
      <c r="M216" s="852">
        <v>1</v>
      </c>
      <c r="N216" s="824">
        <f t="shared" si="36"/>
        <v>11.25</v>
      </c>
    </row>
    <row r="217" spans="1:14" s="825" customFormat="1" ht="15" customHeight="1" x14ac:dyDescent="0.2">
      <c r="A217" s="862" t="s">
        <v>1095</v>
      </c>
      <c r="B217" s="814" t="s">
        <v>1094</v>
      </c>
      <c r="C217" s="814" t="s">
        <v>53</v>
      </c>
      <c r="D217" s="815">
        <v>41339</v>
      </c>
      <c r="E217" s="816">
        <v>1190</v>
      </c>
      <c r="F217" s="817">
        <v>21.72</v>
      </c>
      <c r="G217" s="818">
        <f t="shared" si="33"/>
        <v>25846.799999999999</v>
      </c>
      <c r="H217" s="819"/>
      <c r="I217" s="843">
        <v>41354</v>
      </c>
      <c r="J217" s="817">
        <v>20.94</v>
      </c>
      <c r="K217" s="821">
        <f t="shared" si="34"/>
        <v>24918.600000000002</v>
      </c>
      <c r="L217" s="822">
        <f t="shared" si="35"/>
        <v>-928.19999999999709</v>
      </c>
      <c r="M217" s="852">
        <v>1</v>
      </c>
      <c r="N217" s="824">
        <f t="shared" si="36"/>
        <v>-928.19999999999709</v>
      </c>
    </row>
    <row r="218" spans="1:14" s="825" customFormat="1" ht="15" customHeight="1" x14ac:dyDescent="0.2">
      <c r="A218" s="862" t="s">
        <v>1120</v>
      </c>
      <c r="B218" s="814" t="s">
        <v>1122</v>
      </c>
      <c r="C218" s="814" t="s">
        <v>53</v>
      </c>
      <c r="D218" s="815">
        <v>41355</v>
      </c>
      <c r="E218" s="816">
        <v>47</v>
      </c>
      <c r="F218" s="817">
        <v>461</v>
      </c>
      <c r="G218" s="818">
        <f t="shared" ref="G218:G225" si="37">SUM(E218*F218)</f>
        <v>21667</v>
      </c>
      <c r="H218" s="819"/>
      <c r="I218" s="843">
        <v>41365</v>
      </c>
      <c r="J218" s="817">
        <v>429</v>
      </c>
      <c r="K218" s="821">
        <f t="shared" ref="K218:K225" si="38">SUM(E218*J218)</f>
        <v>20163</v>
      </c>
      <c r="L218" s="822">
        <f t="shared" ref="L218:L225" si="39">SUM(K218-G218)</f>
        <v>-1504</v>
      </c>
      <c r="M218" s="852">
        <v>1</v>
      </c>
      <c r="N218" s="824">
        <f t="shared" si="36"/>
        <v>-1504</v>
      </c>
    </row>
    <row r="219" spans="1:14" s="825" customFormat="1" ht="15" customHeight="1" x14ac:dyDescent="0.2">
      <c r="A219" s="862" t="s">
        <v>1104</v>
      </c>
      <c r="B219" s="814" t="s">
        <v>1105</v>
      </c>
      <c r="C219" s="814" t="s">
        <v>53</v>
      </c>
      <c r="D219" s="815">
        <v>41345</v>
      </c>
      <c r="E219" s="816">
        <v>714</v>
      </c>
      <c r="F219" s="817">
        <v>40.4</v>
      </c>
      <c r="G219" s="818">
        <f t="shared" si="37"/>
        <v>28845.599999999999</v>
      </c>
      <c r="H219" s="819"/>
      <c r="I219" s="843">
        <v>41367</v>
      </c>
      <c r="J219" s="817">
        <v>38.51</v>
      </c>
      <c r="K219" s="821">
        <f t="shared" si="38"/>
        <v>27496.14</v>
      </c>
      <c r="L219" s="822">
        <f t="shared" si="39"/>
        <v>-1349.4599999999991</v>
      </c>
      <c r="M219" s="852">
        <v>1</v>
      </c>
      <c r="N219" s="824">
        <f t="shared" si="36"/>
        <v>-1349.4599999999991</v>
      </c>
    </row>
    <row r="220" spans="1:14" s="825" customFormat="1" ht="15" customHeight="1" x14ac:dyDescent="0.2">
      <c r="A220" s="862" t="s">
        <v>1135</v>
      </c>
      <c r="B220" s="814" t="s">
        <v>1134</v>
      </c>
      <c r="C220" s="814" t="s">
        <v>53</v>
      </c>
      <c r="D220" s="815">
        <v>41365</v>
      </c>
      <c r="E220" s="816">
        <v>625</v>
      </c>
      <c r="F220" s="817">
        <v>64.7</v>
      </c>
      <c r="G220" s="818">
        <f>SUM(E220*F220)</f>
        <v>40437.5</v>
      </c>
      <c r="H220" s="819"/>
      <c r="I220" s="843">
        <v>41368</v>
      </c>
      <c r="J220" s="817">
        <v>62.3</v>
      </c>
      <c r="K220" s="821">
        <f>SUM(E220*J220)</f>
        <v>38937.5</v>
      </c>
      <c r="L220" s="822">
        <f>SUM(K220-G220)</f>
        <v>-1500</v>
      </c>
      <c r="M220" s="852">
        <v>1</v>
      </c>
      <c r="N220" s="824">
        <f>SUM(L220*M220)</f>
        <v>-1500</v>
      </c>
    </row>
    <row r="221" spans="1:14" s="825" customFormat="1" ht="15" customHeight="1" x14ac:dyDescent="0.2">
      <c r="A221" s="862" t="s">
        <v>932</v>
      </c>
      <c r="B221" s="814" t="s">
        <v>933</v>
      </c>
      <c r="C221" s="814" t="s">
        <v>53</v>
      </c>
      <c r="D221" s="815">
        <v>41304</v>
      </c>
      <c r="E221" s="816">
        <v>862</v>
      </c>
      <c r="F221" s="817">
        <v>23.39</v>
      </c>
      <c r="G221" s="818">
        <f t="shared" si="37"/>
        <v>20162.18</v>
      </c>
      <c r="H221" s="819"/>
      <c r="I221" s="843">
        <v>41368</v>
      </c>
      <c r="J221" s="817">
        <v>24.52</v>
      </c>
      <c r="K221" s="821">
        <f t="shared" si="38"/>
        <v>21136.239999999998</v>
      </c>
      <c r="L221" s="822">
        <f t="shared" si="39"/>
        <v>974.05999999999767</v>
      </c>
      <c r="M221" s="852">
        <v>1</v>
      </c>
      <c r="N221" s="824">
        <f t="shared" si="36"/>
        <v>974.05999999999767</v>
      </c>
    </row>
    <row r="222" spans="1:14" s="825" customFormat="1" ht="15" customHeight="1" x14ac:dyDescent="0.2">
      <c r="A222" s="862" t="s">
        <v>968</v>
      </c>
      <c r="B222" s="814" t="s">
        <v>969</v>
      </c>
      <c r="C222" s="814" t="s">
        <v>53</v>
      </c>
      <c r="D222" s="815">
        <v>41366</v>
      </c>
      <c r="E222" s="816">
        <v>555</v>
      </c>
      <c r="F222" s="817">
        <v>65.489999999999995</v>
      </c>
      <c r="G222" s="818">
        <f t="shared" si="37"/>
        <v>36346.949999999997</v>
      </c>
      <c r="H222" s="819"/>
      <c r="I222" s="843">
        <v>41369</v>
      </c>
      <c r="J222" s="817">
        <v>63.87</v>
      </c>
      <c r="K222" s="821">
        <f t="shared" si="38"/>
        <v>35447.85</v>
      </c>
      <c r="L222" s="822">
        <f t="shared" si="39"/>
        <v>-899.09999999999854</v>
      </c>
      <c r="M222" s="852">
        <v>1</v>
      </c>
      <c r="N222" s="824">
        <f>SUM(L222*M222)</f>
        <v>-899.09999999999854</v>
      </c>
    </row>
    <row r="223" spans="1:14" s="825" customFormat="1" ht="15" customHeight="1" x14ac:dyDescent="0.2">
      <c r="A223" s="862" t="s">
        <v>1112</v>
      </c>
      <c r="B223" s="814" t="s">
        <v>496</v>
      </c>
      <c r="C223" s="814" t="s">
        <v>53</v>
      </c>
      <c r="D223" s="815">
        <v>41353</v>
      </c>
      <c r="E223" s="816">
        <v>426</v>
      </c>
      <c r="F223" s="817">
        <v>120.3</v>
      </c>
      <c r="G223" s="818">
        <f t="shared" si="37"/>
        <v>51247.799999999996</v>
      </c>
      <c r="H223" s="819"/>
      <c r="I223" s="843">
        <v>41369</v>
      </c>
      <c r="J223" s="817">
        <v>116.8</v>
      </c>
      <c r="K223" s="821">
        <f t="shared" si="38"/>
        <v>49756.799999999996</v>
      </c>
      <c r="L223" s="822">
        <f t="shared" si="39"/>
        <v>-1491</v>
      </c>
      <c r="M223" s="852">
        <v>1</v>
      </c>
      <c r="N223" s="824">
        <f>SUM(L223*M223)</f>
        <v>-1491</v>
      </c>
    </row>
    <row r="224" spans="1:14" s="825" customFormat="1" ht="15" customHeight="1" x14ac:dyDescent="0.2">
      <c r="A224" s="862" t="s">
        <v>1111</v>
      </c>
      <c r="B224" s="814" t="s">
        <v>1110</v>
      </c>
      <c r="C224" s="814" t="s">
        <v>53</v>
      </c>
      <c r="D224" s="815">
        <v>41347</v>
      </c>
      <c r="E224" s="816">
        <v>250</v>
      </c>
      <c r="F224" s="817">
        <v>214.8</v>
      </c>
      <c r="G224" s="818">
        <f t="shared" si="37"/>
        <v>53700</v>
      </c>
      <c r="H224" s="819"/>
      <c r="I224" s="843">
        <v>41369</v>
      </c>
      <c r="J224" s="817">
        <v>208.8</v>
      </c>
      <c r="K224" s="821">
        <f t="shared" si="38"/>
        <v>52200</v>
      </c>
      <c r="L224" s="822">
        <f t="shared" si="39"/>
        <v>-1500</v>
      </c>
      <c r="M224" s="852">
        <v>1</v>
      </c>
      <c r="N224" s="824">
        <f>SUM(L224*M224)</f>
        <v>-1500</v>
      </c>
    </row>
    <row r="225" spans="1:14" s="825" customFormat="1" ht="15" customHeight="1" x14ac:dyDescent="0.2">
      <c r="A225" s="862" t="s">
        <v>973</v>
      </c>
      <c r="B225" s="814" t="s">
        <v>974</v>
      </c>
      <c r="C225" s="814" t="s">
        <v>53</v>
      </c>
      <c r="D225" s="815">
        <v>41309</v>
      </c>
      <c r="E225" s="816">
        <v>714</v>
      </c>
      <c r="F225" s="817">
        <v>38.659999999999997</v>
      </c>
      <c r="G225" s="818">
        <f t="shared" si="37"/>
        <v>27603.239999999998</v>
      </c>
      <c r="H225" s="819"/>
      <c r="I225" s="843">
        <v>41369</v>
      </c>
      <c r="J225" s="817">
        <v>42.38</v>
      </c>
      <c r="K225" s="821">
        <f t="shared" si="38"/>
        <v>30259.320000000003</v>
      </c>
      <c r="L225" s="822">
        <f t="shared" si="39"/>
        <v>2656.0800000000054</v>
      </c>
      <c r="M225" s="852">
        <v>1</v>
      </c>
      <c r="N225" s="824">
        <f>SUM(L225*M225)</f>
        <v>2656.0800000000054</v>
      </c>
    </row>
    <row r="226" spans="1:14" s="845" customFormat="1" ht="15" customHeight="1" x14ac:dyDescent="0.2">
      <c r="A226" s="816" t="s">
        <v>497</v>
      </c>
      <c r="B226" s="814" t="s">
        <v>498</v>
      </c>
      <c r="C226" s="814" t="s">
        <v>53</v>
      </c>
      <c r="D226" s="815">
        <v>41292</v>
      </c>
      <c r="E226" s="816">
        <v>937</v>
      </c>
      <c r="F226" s="817">
        <v>53.93</v>
      </c>
      <c r="G226" s="818">
        <f t="shared" ref="G226:G234" si="40">SUM(E226*F226)</f>
        <v>50532.409999999996</v>
      </c>
      <c r="H226" s="819"/>
      <c r="I226" s="843">
        <v>41372</v>
      </c>
      <c r="J226" s="817">
        <v>57.99</v>
      </c>
      <c r="K226" s="821">
        <f t="shared" ref="K226:K234" si="41">SUM(E226*J226)</f>
        <v>54336.630000000005</v>
      </c>
      <c r="L226" s="822">
        <f t="shared" ref="L226:L231" si="42">SUM(K226-G226)</f>
        <v>3804.2200000000084</v>
      </c>
      <c r="M226" s="852">
        <v>1</v>
      </c>
      <c r="N226" s="824">
        <f>SUM(K226-G226)*M226</f>
        <v>3804.2200000000084</v>
      </c>
    </row>
    <row r="227" spans="1:14" s="825" customFormat="1" ht="15" customHeight="1" x14ac:dyDescent="0.2">
      <c r="A227" s="862" t="s">
        <v>1131</v>
      </c>
      <c r="B227" s="814" t="s">
        <v>838</v>
      </c>
      <c r="C227" s="814" t="s">
        <v>53</v>
      </c>
      <c r="D227" s="815">
        <v>41365</v>
      </c>
      <c r="E227" s="816">
        <v>1724</v>
      </c>
      <c r="F227" s="817">
        <v>33.700000000000003</v>
      </c>
      <c r="G227" s="818">
        <f t="shared" si="40"/>
        <v>58098.8</v>
      </c>
      <c r="H227" s="819"/>
      <c r="I227" s="843">
        <v>41376</v>
      </c>
      <c r="J227" s="817">
        <v>32.56</v>
      </c>
      <c r="K227" s="821">
        <f t="shared" si="41"/>
        <v>56133.440000000002</v>
      </c>
      <c r="L227" s="822">
        <f t="shared" si="42"/>
        <v>-1965.3600000000006</v>
      </c>
      <c r="M227" s="852">
        <v>1</v>
      </c>
      <c r="N227" s="824">
        <f>SUM(L227*M227)</f>
        <v>-1965.3600000000006</v>
      </c>
    </row>
    <row r="228" spans="1:14" s="825" customFormat="1" ht="15" customHeight="1" x14ac:dyDescent="0.2">
      <c r="A228" s="862" t="s">
        <v>1124</v>
      </c>
      <c r="B228" s="814" t="s">
        <v>1125</v>
      </c>
      <c r="C228" s="814" t="s">
        <v>53</v>
      </c>
      <c r="D228" s="815">
        <v>41358</v>
      </c>
      <c r="E228" s="816">
        <v>1351</v>
      </c>
      <c r="F228" s="817">
        <v>14.59</v>
      </c>
      <c r="G228" s="818">
        <f t="shared" si="40"/>
        <v>19711.09</v>
      </c>
      <c r="H228" s="819"/>
      <c r="I228" s="843">
        <v>41376</v>
      </c>
      <c r="J228" s="817">
        <v>13.98</v>
      </c>
      <c r="K228" s="821">
        <f t="shared" si="41"/>
        <v>18886.98</v>
      </c>
      <c r="L228" s="822">
        <f t="shared" si="42"/>
        <v>-824.11000000000058</v>
      </c>
      <c r="M228" s="852">
        <v>1</v>
      </c>
      <c r="N228" s="824">
        <f>SUM(L228*M228)</f>
        <v>-824.11000000000058</v>
      </c>
    </row>
    <row r="229" spans="1:14" s="825" customFormat="1" ht="15" customHeight="1" x14ac:dyDescent="0.2">
      <c r="A229" s="862" t="s">
        <v>547</v>
      </c>
      <c r="B229" s="814" t="s">
        <v>548</v>
      </c>
      <c r="C229" s="814" t="s">
        <v>53</v>
      </c>
      <c r="D229" s="815">
        <v>41338</v>
      </c>
      <c r="E229" s="816">
        <v>641</v>
      </c>
      <c r="F229" s="817">
        <v>63.26</v>
      </c>
      <c r="G229" s="818">
        <f t="shared" si="40"/>
        <v>40549.659999999996</v>
      </c>
      <c r="H229" s="819"/>
      <c r="I229" s="843">
        <v>41379</v>
      </c>
      <c r="J229" s="817">
        <v>64.430000000000007</v>
      </c>
      <c r="K229" s="821">
        <f t="shared" si="41"/>
        <v>41299.630000000005</v>
      </c>
      <c r="L229" s="822">
        <f t="shared" si="42"/>
        <v>749.97000000000844</v>
      </c>
      <c r="M229" s="852">
        <v>1</v>
      </c>
      <c r="N229" s="824">
        <f>SUM(L229*M229)</f>
        <v>749.97000000000844</v>
      </c>
    </row>
    <row r="230" spans="1:14" s="825" customFormat="1" ht="15" customHeight="1" x14ac:dyDescent="0.2">
      <c r="A230" s="862" t="s">
        <v>1097</v>
      </c>
      <c r="B230" s="814" t="s">
        <v>1096</v>
      </c>
      <c r="C230" s="814" t="s">
        <v>53</v>
      </c>
      <c r="D230" s="815">
        <v>41340</v>
      </c>
      <c r="E230" s="816">
        <v>469</v>
      </c>
      <c r="F230" s="817">
        <v>64.34</v>
      </c>
      <c r="G230" s="818">
        <f t="shared" si="40"/>
        <v>30175.460000000003</v>
      </c>
      <c r="H230" s="819"/>
      <c r="I230" s="843">
        <v>41381</v>
      </c>
      <c r="J230" s="817">
        <v>65.09</v>
      </c>
      <c r="K230" s="821">
        <f t="shared" si="41"/>
        <v>30527.210000000003</v>
      </c>
      <c r="L230" s="822">
        <f t="shared" si="42"/>
        <v>351.75</v>
      </c>
      <c r="M230" s="852">
        <v>1</v>
      </c>
      <c r="N230" s="824">
        <f>SUM(L230*M230)</f>
        <v>351.75</v>
      </c>
    </row>
    <row r="231" spans="1:14" s="825" customFormat="1" ht="15" customHeight="1" x14ac:dyDescent="0.2">
      <c r="A231" s="862" t="s">
        <v>934</v>
      </c>
      <c r="B231" s="814" t="s">
        <v>935</v>
      </c>
      <c r="C231" s="814" t="s">
        <v>53</v>
      </c>
      <c r="D231" s="815">
        <v>41305</v>
      </c>
      <c r="E231" s="816">
        <v>600</v>
      </c>
      <c r="F231" s="817">
        <v>68.150000000000006</v>
      </c>
      <c r="G231" s="818">
        <f t="shared" si="40"/>
        <v>40890</v>
      </c>
      <c r="H231" s="819"/>
      <c r="I231" s="843">
        <v>41381</v>
      </c>
      <c r="J231" s="817">
        <v>74.55</v>
      </c>
      <c r="K231" s="821">
        <f t="shared" si="41"/>
        <v>44730</v>
      </c>
      <c r="L231" s="822">
        <f t="shared" si="42"/>
        <v>3840</v>
      </c>
      <c r="M231" s="852">
        <v>1</v>
      </c>
      <c r="N231" s="824">
        <f>SUM(L231*M231)</f>
        <v>3840</v>
      </c>
    </row>
    <row r="232" spans="1:14" s="825" customFormat="1" ht="15" customHeight="1" x14ac:dyDescent="0.2">
      <c r="A232" s="862" t="s">
        <v>1023</v>
      </c>
      <c r="B232" s="814" t="s">
        <v>1024</v>
      </c>
      <c r="C232" s="814" t="s">
        <v>53</v>
      </c>
      <c r="D232" s="815">
        <v>41324</v>
      </c>
      <c r="E232" s="816">
        <v>395</v>
      </c>
      <c r="F232" s="817">
        <v>122.1</v>
      </c>
      <c r="G232" s="818">
        <f t="shared" si="40"/>
        <v>48229.5</v>
      </c>
      <c r="H232" s="819"/>
      <c r="I232" s="843">
        <v>41382</v>
      </c>
      <c r="J232" s="817">
        <v>119.6</v>
      </c>
      <c r="K232" s="821">
        <f t="shared" si="41"/>
        <v>47242</v>
      </c>
      <c r="L232" s="822">
        <f t="shared" ref="L232" si="43">SUM(K232-G232)</f>
        <v>-987.5</v>
      </c>
      <c r="M232" s="852">
        <v>1</v>
      </c>
      <c r="N232" s="824">
        <f t="shared" ref="N232" si="44">SUM(L232*M232)</f>
        <v>-987.5</v>
      </c>
    </row>
    <row r="233" spans="1:14" s="825" customFormat="1" ht="15" customHeight="1" x14ac:dyDescent="0.2">
      <c r="A233" s="862" t="s">
        <v>1017</v>
      </c>
      <c r="B233" s="814" t="s">
        <v>1018</v>
      </c>
      <c r="C233" s="814" t="s">
        <v>53</v>
      </c>
      <c r="D233" s="815">
        <v>41325</v>
      </c>
      <c r="E233" s="816">
        <v>685</v>
      </c>
      <c r="F233" s="817">
        <v>58.5</v>
      </c>
      <c r="G233" s="818">
        <f t="shared" si="40"/>
        <v>40072.5</v>
      </c>
      <c r="H233" s="819"/>
      <c r="I233" s="843">
        <v>41382</v>
      </c>
      <c r="J233" s="817">
        <v>59.61</v>
      </c>
      <c r="K233" s="821">
        <f t="shared" si="41"/>
        <v>40832.85</v>
      </c>
      <c r="L233" s="822">
        <f>SUM(K233-G233)</f>
        <v>760.34999999999854</v>
      </c>
      <c r="M233" s="852">
        <v>1</v>
      </c>
      <c r="N233" s="824">
        <f t="shared" ref="N233:N239" si="45">SUM(L233*M233)</f>
        <v>760.34999999999854</v>
      </c>
    </row>
    <row r="234" spans="1:14" s="825" customFormat="1" ht="15" customHeight="1" x14ac:dyDescent="0.2">
      <c r="A234" s="862" t="s">
        <v>1106</v>
      </c>
      <c r="B234" s="814" t="s">
        <v>1107</v>
      </c>
      <c r="C234" s="814" t="s">
        <v>53</v>
      </c>
      <c r="D234" s="815">
        <v>41346</v>
      </c>
      <c r="E234" s="816">
        <v>460</v>
      </c>
      <c r="F234" s="817">
        <v>90.86</v>
      </c>
      <c r="G234" s="818">
        <f t="shared" si="40"/>
        <v>41795.599999999999</v>
      </c>
      <c r="H234" s="819"/>
      <c r="I234" s="843">
        <v>41382</v>
      </c>
      <c r="J234" s="817">
        <v>93.5</v>
      </c>
      <c r="K234" s="821">
        <f t="shared" si="41"/>
        <v>43010</v>
      </c>
      <c r="L234" s="822">
        <f>SUM(K234-G234)</f>
        <v>1214.4000000000015</v>
      </c>
      <c r="M234" s="852">
        <v>1</v>
      </c>
      <c r="N234" s="824">
        <f t="shared" si="45"/>
        <v>1214.4000000000015</v>
      </c>
    </row>
    <row r="235" spans="1:14" s="825" customFormat="1" ht="15" customHeight="1" x14ac:dyDescent="0.2">
      <c r="A235" s="862" t="s">
        <v>1132</v>
      </c>
      <c r="B235" s="814" t="s">
        <v>1133</v>
      </c>
      <c r="C235" s="814" t="s">
        <v>53</v>
      </c>
      <c r="D235" s="815">
        <v>41365</v>
      </c>
      <c r="E235" s="816">
        <v>507</v>
      </c>
      <c r="F235" s="817">
        <v>95.656999999999996</v>
      </c>
      <c r="G235" s="818">
        <f t="shared" ref="G235:G243" si="46">SUM(E235*F235)</f>
        <v>48498.098999999995</v>
      </c>
      <c r="H235" s="819"/>
      <c r="I235" s="843">
        <v>41386</v>
      </c>
      <c r="J235" s="817">
        <v>89.74</v>
      </c>
      <c r="K235" s="821">
        <f t="shared" ref="K235:K243" si="47">SUM(E235*J235)</f>
        <v>45498.18</v>
      </c>
      <c r="L235" s="822">
        <f>SUM(K235-G235)</f>
        <v>-2999.9189999999944</v>
      </c>
      <c r="M235" s="852">
        <v>1</v>
      </c>
      <c r="N235" s="824">
        <f t="shared" si="45"/>
        <v>-2999.9189999999944</v>
      </c>
    </row>
    <row r="236" spans="1:14" s="845" customFormat="1" ht="15" customHeight="1" x14ac:dyDescent="0.2">
      <c r="A236" s="847" t="s">
        <v>1139</v>
      </c>
      <c r="B236" s="842" t="s">
        <v>1140</v>
      </c>
      <c r="C236" s="842" t="s">
        <v>78</v>
      </c>
      <c r="D236" s="846">
        <v>41367</v>
      </c>
      <c r="E236" s="847">
        <v>1266</v>
      </c>
      <c r="F236" s="848">
        <v>18.82</v>
      </c>
      <c r="G236" s="849">
        <f t="shared" si="46"/>
        <v>23826.12</v>
      </c>
      <c r="H236" s="850"/>
      <c r="I236" s="857">
        <v>41387</v>
      </c>
      <c r="J236" s="848">
        <v>19.309999999999999</v>
      </c>
      <c r="K236" s="851">
        <f t="shared" si="47"/>
        <v>24446.46</v>
      </c>
      <c r="L236" s="853">
        <f>SUM(G236-K236)</f>
        <v>-620.34000000000015</v>
      </c>
      <c r="M236" s="852">
        <v>1</v>
      </c>
      <c r="N236" s="844">
        <f t="shared" si="45"/>
        <v>-620.34000000000015</v>
      </c>
    </row>
    <row r="237" spans="1:14" s="845" customFormat="1" ht="15" customHeight="1" x14ac:dyDescent="0.2">
      <c r="A237" s="847" t="s">
        <v>1145</v>
      </c>
      <c r="B237" s="842" t="s">
        <v>1146</v>
      </c>
      <c r="C237" s="842" t="s">
        <v>78</v>
      </c>
      <c r="D237" s="846">
        <v>41372</v>
      </c>
      <c r="E237" s="847">
        <v>659</v>
      </c>
      <c r="F237" s="848">
        <v>58.71</v>
      </c>
      <c r="G237" s="849">
        <f t="shared" si="46"/>
        <v>38689.89</v>
      </c>
      <c r="H237" s="850"/>
      <c r="I237" s="857">
        <v>41388</v>
      </c>
      <c r="J237" s="848">
        <v>60.42</v>
      </c>
      <c r="K237" s="851">
        <f t="shared" si="47"/>
        <v>39816.78</v>
      </c>
      <c r="L237" s="853">
        <f>SUM(G237-K237)</f>
        <v>-1126.8899999999994</v>
      </c>
      <c r="M237" s="852">
        <v>1</v>
      </c>
      <c r="N237" s="844">
        <f t="shared" si="45"/>
        <v>-1126.8899999999994</v>
      </c>
    </row>
    <row r="238" spans="1:14" s="845" customFormat="1" ht="15" customHeight="1" x14ac:dyDescent="0.2">
      <c r="A238" s="847" t="s">
        <v>1163</v>
      </c>
      <c r="B238" s="842" t="s">
        <v>1164</v>
      </c>
      <c r="C238" s="842" t="s">
        <v>78</v>
      </c>
      <c r="D238" s="846">
        <v>41381</v>
      </c>
      <c r="E238" s="847">
        <v>3178</v>
      </c>
      <c r="F238" s="848">
        <v>11.52</v>
      </c>
      <c r="G238" s="849">
        <f t="shared" si="46"/>
        <v>36610.559999999998</v>
      </c>
      <c r="H238" s="850"/>
      <c r="I238" s="857">
        <v>41389</v>
      </c>
      <c r="J238" s="848">
        <v>12.22</v>
      </c>
      <c r="K238" s="851">
        <f t="shared" si="47"/>
        <v>38835.160000000003</v>
      </c>
      <c r="L238" s="853">
        <f>SUM(G238-K238)</f>
        <v>-2224.6000000000058</v>
      </c>
      <c r="M238" s="852">
        <v>1</v>
      </c>
      <c r="N238" s="844">
        <f t="shared" si="45"/>
        <v>-2224.6000000000058</v>
      </c>
    </row>
    <row r="239" spans="1:14" s="825" customFormat="1" ht="15" customHeight="1" x14ac:dyDescent="0.2">
      <c r="A239" s="862" t="s">
        <v>1138</v>
      </c>
      <c r="B239" s="814" t="s">
        <v>1143</v>
      </c>
      <c r="C239" s="814" t="s">
        <v>53</v>
      </c>
      <c r="D239" s="815">
        <v>41366</v>
      </c>
      <c r="E239" s="816">
        <v>1098</v>
      </c>
      <c r="F239" s="817">
        <v>78.680000000000007</v>
      </c>
      <c r="G239" s="818">
        <f t="shared" si="46"/>
        <v>86390.640000000014</v>
      </c>
      <c r="H239" s="819"/>
      <c r="I239" s="843">
        <v>41389</v>
      </c>
      <c r="J239" s="817">
        <v>76.86</v>
      </c>
      <c r="K239" s="821">
        <f t="shared" si="47"/>
        <v>84392.28</v>
      </c>
      <c r="L239" s="822">
        <f t="shared" ref="L239:L250" si="48">SUM(K239-G239)</f>
        <v>-1998.3600000000151</v>
      </c>
      <c r="M239" s="852">
        <v>1</v>
      </c>
      <c r="N239" s="824">
        <f t="shared" si="45"/>
        <v>-1998.3600000000151</v>
      </c>
    </row>
    <row r="240" spans="1:14" s="845" customFormat="1" ht="15" customHeight="1" x14ac:dyDescent="0.2">
      <c r="A240" s="816" t="s">
        <v>864</v>
      </c>
      <c r="B240" s="814" t="s">
        <v>865</v>
      </c>
      <c r="C240" s="814" t="s">
        <v>53</v>
      </c>
      <c r="D240" s="815">
        <v>41283</v>
      </c>
      <c r="E240" s="816">
        <v>1219</v>
      </c>
      <c r="F240" s="817">
        <v>26.5</v>
      </c>
      <c r="G240" s="818">
        <f t="shared" si="46"/>
        <v>32303.5</v>
      </c>
      <c r="H240" s="819"/>
      <c r="I240" s="843">
        <v>41390</v>
      </c>
      <c r="J240" s="817">
        <v>29.23</v>
      </c>
      <c r="K240" s="821">
        <f t="shared" si="47"/>
        <v>35631.370000000003</v>
      </c>
      <c r="L240" s="822">
        <f t="shared" si="48"/>
        <v>3327.8700000000026</v>
      </c>
      <c r="M240" s="852">
        <v>1</v>
      </c>
      <c r="N240" s="824">
        <f>SUM(K240-G240)*M240</f>
        <v>3327.8700000000026</v>
      </c>
    </row>
    <row r="241" spans="1:14" s="845" customFormat="1" ht="15" customHeight="1" x14ac:dyDescent="0.2">
      <c r="A241" s="816" t="s">
        <v>654</v>
      </c>
      <c r="B241" s="814" t="s">
        <v>655</v>
      </c>
      <c r="C241" s="814" t="s">
        <v>53</v>
      </c>
      <c r="D241" s="815">
        <v>41284</v>
      </c>
      <c r="E241" s="816">
        <v>1315</v>
      </c>
      <c r="F241" s="817">
        <v>34.97</v>
      </c>
      <c r="G241" s="818">
        <f t="shared" si="46"/>
        <v>45985.549999999996</v>
      </c>
      <c r="H241" s="819"/>
      <c r="I241" s="843">
        <v>41390</v>
      </c>
      <c r="J241" s="817">
        <v>38.770000000000003</v>
      </c>
      <c r="K241" s="821">
        <f t="shared" si="47"/>
        <v>50982.55</v>
      </c>
      <c r="L241" s="822">
        <f t="shared" si="48"/>
        <v>4997.0000000000073</v>
      </c>
      <c r="M241" s="852">
        <v>1</v>
      </c>
      <c r="N241" s="824">
        <f>SUM(K241-G241)*M241</f>
        <v>4997.0000000000073</v>
      </c>
    </row>
    <row r="242" spans="1:14" s="825" customFormat="1" ht="15" customHeight="1" x14ac:dyDescent="0.2">
      <c r="A242" s="862" t="s">
        <v>535</v>
      </c>
      <c r="B242" s="814" t="s">
        <v>536</v>
      </c>
      <c r="C242" s="814" t="s">
        <v>53</v>
      </c>
      <c r="D242" s="815">
        <v>41339</v>
      </c>
      <c r="E242" s="816">
        <v>532</v>
      </c>
      <c r="F242" s="817">
        <v>64.83</v>
      </c>
      <c r="G242" s="818">
        <f t="shared" si="46"/>
        <v>34489.56</v>
      </c>
      <c r="H242" s="819"/>
      <c r="I242" s="843">
        <v>41390</v>
      </c>
      <c r="J242" s="817">
        <v>64.03</v>
      </c>
      <c r="K242" s="821">
        <f t="shared" si="47"/>
        <v>34063.96</v>
      </c>
      <c r="L242" s="822">
        <f t="shared" si="48"/>
        <v>-425.59999999999854</v>
      </c>
      <c r="M242" s="852">
        <v>1</v>
      </c>
      <c r="N242" s="824">
        <f>SUM(L242*M242)</f>
        <v>-425.59999999999854</v>
      </c>
    </row>
    <row r="243" spans="1:14" s="825" customFormat="1" ht="15" customHeight="1" x14ac:dyDescent="0.2">
      <c r="A243" s="862" t="s">
        <v>1087</v>
      </c>
      <c r="B243" s="814" t="s">
        <v>1088</v>
      </c>
      <c r="C243" s="814" t="s">
        <v>53</v>
      </c>
      <c r="D243" s="815">
        <v>41339</v>
      </c>
      <c r="E243" s="816">
        <v>746</v>
      </c>
      <c r="F243" s="817">
        <v>37.86</v>
      </c>
      <c r="G243" s="818">
        <f t="shared" si="46"/>
        <v>28243.56</v>
      </c>
      <c r="H243" s="819"/>
      <c r="I243" s="843">
        <v>41394</v>
      </c>
      <c r="J243" s="817">
        <v>39.21</v>
      </c>
      <c r="K243" s="821">
        <f t="shared" si="47"/>
        <v>29250.66</v>
      </c>
      <c r="L243" s="822">
        <f t="shared" si="48"/>
        <v>1007.0999999999985</v>
      </c>
      <c r="M243" s="852">
        <v>1</v>
      </c>
      <c r="N243" s="824">
        <f>SUM(L243*M243)</f>
        <v>1007.0999999999985</v>
      </c>
    </row>
    <row r="244" spans="1:14" s="845" customFormat="1" ht="15" customHeight="1" x14ac:dyDescent="0.2">
      <c r="A244" s="816" t="s">
        <v>858</v>
      </c>
      <c r="B244" s="814" t="s">
        <v>859</v>
      </c>
      <c r="C244" s="814" t="s">
        <v>53</v>
      </c>
      <c r="D244" s="815">
        <v>41250</v>
      </c>
      <c r="E244" s="816">
        <v>128</v>
      </c>
      <c r="F244" s="817">
        <v>195.89</v>
      </c>
      <c r="G244" s="818">
        <f t="shared" ref="G244:G280" si="49">SUM(E244*F244)</f>
        <v>25073.919999999998</v>
      </c>
      <c r="H244" s="819"/>
      <c r="I244" s="843">
        <v>41400</v>
      </c>
      <c r="J244" s="820">
        <v>229.6</v>
      </c>
      <c r="K244" s="821">
        <f t="shared" ref="K244:K277" si="50">SUM(E244*J244)</f>
        <v>29388.799999999999</v>
      </c>
      <c r="L244" s="822">
        <f t="shared" si="48"/>
        <v>4314.880000000001</v>
      </c>
      <c r="M244" s="852">
        <v>1</v>
      </c>
      <c r="N244" s="824">
        <f>SUM(K244-G244)*M244</f>
        <v>4314.880000000001</v>
      </c>
    </row>
    <row r="245" spans="1:14" s="845" customFormat="1" ht="15" customHeight="1" x14ac:dyDescent="0.2">
      <c r="A245" s="862" t="s">
        <v>1061</v>
      </c>
      <c r="B245" s="814" t="s">
        <v>506</v>
      </c>
      <c r="C245" s="814" t="s">
        <v>53</v>
      </c>
      <c r="D245" s="815">
        <v>41333</v>
      </c>
      <c r="E245" s="816">
        <v>1369</v>
      </c>
      <c r="F245" s="817">
        <v>28.74</v>
      </c>
      <c r="G245" s="818">
        <f t="shared" si="49"/>
        <v>39345.06</v>
      </c>
      <c r="H245" s="819"/>
      <c r="I245" s="815">
        <v>41400</v>
      </c>
      <c r="J245" s="814">
        <v>30.79</v>
      </c>
      <c r="K245" s="821">
        <f t="shared" si="50"/>
        <v>42151.51</v>
      </c>
      <c r="L245" s="822">
        <f t="shared" si="48"/>
        <v>2806.4500000000044</v>
      </c>
      <c r="M245" s="852">
        <v>1</v>
      </c>
      <c r="N245" s="824">
        <f>SUM(L245*M245)</f>
        <v>2806.4500000000044</v>
      </c>
    </row>
    <row r="246" spans="1:14" s="845" customFormat="1" ht="15" customHeight="1" x14ac:dyDescent="0.2">
      <c r="A246" s="816" t="s">
        <v>854</v>
      </c>
      <c r="B246" s="814" t="s">
        <v>855</v>
      </c>
      <c r="C246" s="814" t="s">
        <v>53</v>
      </c>
      <c r="D246" s="815">
        <v>41177</v>
      </c>
      <c r="E246" s="816">
        <v>253</v>
      </c>
      <c r="F246" s="817">
        <v>61.54</v>
      </c>
      <c r="G246" s="818">
        <f t="shared" si="49"/>
        <v>15569.619999999999</v>
      </c>
      <c r="H246" s="819"/>
      <c r="I246" s="843">
        <v>41401</v>
      </c>
      <c r="J246" s="817">
        <v>70.25</v>
      </c>
      <c r="K246" s="821">
        <f t="shared" si="50"/>
        <v>17773.25</v>
      </c>
      <c r="L246" s="822">
        <f t="shared" si="48"/>
        <v>2203.630000000001</v>
      </c>
      <c r="M246" s="852">
        <v>1</v>
      </c>
      <c r="N246" s="824">
        <f>SUM(K246-G246)*M246</f>
        <v>2203.630000000001</v>
      </c>
    </row>
    <row r="247" spans="1:14" s="845" customFormat="1" ht="15" customHeight="1" x14ac:dyDescent="0.2">
      <c r="A247" s="862" t="s">
        <v>1121</v>
      </c>
      <c r="B247" s="814" t="s">
        <v>855</v>
      </c>
      <c r="C247" s="814" t="s">
        <v>53</v>
      </c>
      <c r="D247" s="815">
        <v>41355</v>
      </c>
      <c r="E247" s="816">
        <v>714</v>
      </c>
      <c r="F247" s="817">
        <v>70.39</v>
      </c>
      <c r="G247" s="818">
        <f t="shared" si="49"/>
        <v>50258.46</v>
      </c>
      <c r="H247" s="819"/>
      <c r="I247" s="815">
        <v>41401</v>
      </c>
      <c r="J247" s="814">
        <v>67.66</v>
      </c>
      <c r="K247" s="821">
        <f t="shared" si="50"/>
        <v>48309.24</v>
      </c>
      <c r="L247" s="822">
        <f t="shared" si="48"/>
        <v>-1949.2200000000012</v>
      </c>
      <c r="M247" s="852">
        <v>1</v>
      </c>
      <c r="N247" s="824">
        <f>SUM(L247*M247)</f>
        <v>-1949.2200000000012</v>
      </c>
    </row>
    <row r="248" spans="1:14" s="845" customFormat="1" ht="15" customHeight="1" x14ac:dyDescent="0.2">
      <c r="A248" s="862" t="s">
        <v>1022</v>
      </c>
      <c r="B248" s="814" t="s">
        <v>512</v>
      </c>
      <c r="C248" s="814" t="s">
        <v>53</v>
      </c>
      <c r="D248" s="815">
        <v>41325</v>
      </c>
      <c r="E248" s="816">
        <v>847</v>
      </c>
      <c r="F248" s="817">
        <v>41.45</v>
      </c>
      <c r="G248" s="818">
        <f t="shared" si="49"/>
        <v>35108.15</v>
      </c>
      <c r="H248" s="819"/>
      <c r="I248" s="815">
        <v>41403</v>
      </c>
      <c r="J248" s="814">
        <v>44.16</v>
      </c>
      <c r="K248" s="821">
        <f t="shared" si="50"/>
        <v>37403.519999999997</v>
      </c>
      <c r="L248" s="822">
        <f t="shared" si="48"/>
        <v>2295.3699999999953</v>
      </c>
      <c r="M248" s="852">
        <v>1</v>
      </c>
      <c r="N248" s="824">
        <f>SUM(L248*M248)</f>
        <v>2295.3699999999953</v>
      </c>
    </row>
    <row r="249" spans="1:14" s="841" customFormat="1" ht="15" customHeight="1" x14ac:dyDescent="0.2">
      <c r="A249" s="862" t="s">
        <v>1064</v>
      </c>
      <c r="B249" s="814" t="s">
        <v>1062</v>
      </c>
      <c r="C249" s="814" t="s">
        <v>53</v>
      </c>
      <c r="D249" s="815">
        <v>41333</v>
      </c>
      <c r="E249" s="816">
        <v>1351</v>
      </c>
      <c r="F249" s="817">
        <v>27.52</v>
      </c>
      <c r="G249" s="818">
        <f t="shared" si="49"/>
        <v>37179.519999999997</v>
      </c>
      <c r="H249" s="819"/>
      <c r="I249" s="815">
        <v>41403</v>
      </c>
      <c r="J249" s="814">
        <v>29.17</v>
      </c>
      <c r="K249" s="821">
        <f t="shared" si="50"/>
        <v>39408.670000000006</v>
      </c>
      <c r="L249" s="822">
        <f t="shared" si="48"/>
        <v>2229.1500000000087</v>
      </c>
      <c r="M249" s="852">
        <v>1</v>
      </c>
      <c r="N249" s="824">
        <f>SUM(L249*M249)</f>
        <v>2229.1500000000087</v>
      </c>
    </row>
    <row r="250" spans="1:14" s="825" customFormat="1" ht="15" customHeight="1" x14ac:dyDescent="0.2">
      <c r="A250" s="816" t="s">
        <v>588</v>
      </c>
      <c r="B250" s="814" t="s">
        <v>589</v>
      </c>
      <c r="C250" s="814" t="s">
        <v>53</v>
      </c>
      <c r="D250" s="815">
        <v>41296</v>
      </c>
      <c r="E250" s="816">
        <v>1351</v>
      </c>
      <c r="F250" s="817">
        <v>25.35</v>
      </c>
      <c r="G250" s="818">
        <f t="shared" si="49"/>
        <v>34247.85</v>
      </c>
      <c r="H250" s="819"/>
      <c r="I250" s="843">
        <v>41404</v>
      </c>
      <c r="J250" s="820">
        <v>28.31</v>
      </c>
      <c r="K250" s="821">
        <f t="shared" si="50"/>
        <v>38246.81</v>
      </c>
      <c r="L250" s="822">
        <f t="shared" si="48"/>
        <v>3998.9599999999991</v>
      </c>
      <c r="M250" s="852">
        <v>1</v>
      </c>
      <c r="N250" s="824">
        <f>SUM(K250-G250)*M250</f>
        <v>3998.9599999999991</v>
      </c>
    </row>
    <row r="251" spans="1:14" s="845" customFormat="1" ht="15" customHeight="1" x14ac:dyDescent="0.2">
      <c r="A251" s="847" t="s">
        <v>1166</v>
      </c>
      <c r="B251" s="842" t="s">
        <v>1165</v>
      </c>
      <c r="C251" s="842" t="s">
        <v>78</v>
      </c>
      <c r="D251" s="846">
        <v>41379</v>
      </c>
      <c r="E251" s="847">
        <v>1794</v>
      </c>
      <c r="F251" s="848">
        <v>36.83</v>
      </c>
      <c r="G251" s="849">
        <f t="shared" si="49"/>
        <v>66073.02</v>
      </c>
      <c r="H251" s="850"/>
      <c r="I251" s="846">
        <v>41404</v>
      </c>
      <c r="J251" s="842">
        <v>38.07</v>
      </c>
      <c r="K251" s="851">
        <f t="shared" si="50"/>
        <v>68297.58</v>
      </c>
      <c r="L251" s="853">
        <f>SUM(G251-K251)</f>
        <v>-2224.5599999999977</v>
      </c>
      <c r="M251" s="852">
        <v>1</v>
      </c>
      <c r="N251" s="844">
        <f>SUM(L251*M251)</f>
        <v>-2224.5599999999977</v>
      </c>
    </row>
    <row r="252" spans="1:14" s="825" customFormat="1" ht="15" customHeight="1" x14ac:dyDescent="0.2">
      <c r="A252" s="847" t="s">
        <v>1142</v>
      </c>
      <c r="B252" s="842" t="s">
        <v>1141</v>
      </c>
      <c r="C252" s="842" t="s">
        <v>78</v>
      </c>
      <c r="D252" s="846">
        <v>41368</v>
      </c>
      <c r="E252" s="847">
        <v>548</v>
      </c>
      <c r="F252" s="848">
        <v>55.26</v>
      </c>
      <c r="G252" s="849">
        <f t="shared" si="49"/>
        <v>30282.48</v>
      </c>
      <c r="H252" s="850"/>
      <c r="I252" s="846">
        <v>41410</v>
      </c>
      <c r="J252" s="842">
        <v>56.39</v>
      </c>
      <c r="K252" s="851">
        <f t="shared" si="50"/>
        <v>30901.72</v>
      </c>
      <c r="L252" s="853">
        <f>SUM(G252-K252)</f>
        <v>-619.2400000000016</v>
      </c>
      <c r="M252" s="852">
        <v>1</v>
      </c>
      <c r="N252" s="844">
        <f>SUM(L252*M252)</f>
        <v>-619.2400000000016</v>
      </c>
    </row>
    <row r="253" spans="1:14" s="825" customFormat="1" ht="15" customHeight="1" x14ac:dyDescent="0.2">
      <c r="A253" s="862" t="s">
        <v>600</v>
      </c>
      <c r="B253" s="814" t="s">
        <v>601</v>
      </c>
      <c r="C253" s="814" t="s">
        <v>53</v>
      </c>
      <c r="D253" s="815">
        <v>41353</v>
      </c>
      <c r="E253" s="816">
        <v>588</v>
      </c>
      <c r="F253" s="817">
        <v>70.400000000000006</v>
      </c>
      <c r="G253" s="818">
        <f t="shared" si="49"/>
        <v>41395.200000000004</v>
      </c>
      <c r="H253" s="819"/>
      <c r="I253" s="815">
        <v>41411</v>
      </c>
      <c r="J253" s="814">
        <v>71.05</v>
      </c>
      <c r="K253" s="821">
        <f t="shared" si="50"/>
        <v>41777.4</v>
      </c>
      <c r="L253" s="822">
        <f t="shared" ref="L253:L277" si="51">SUM(K253-G253)</f>
        <v>382.19999999999709</v>
      </c>
      <c r="M253" s="852">
        <v>1</v>
      </c>
      <c r="N253" s="824">
        <f>SUM(L253*M253)</f>
        <v>382.19999999999709</v>
      </c>
    </row>
    <row r="254" spans="1:14" s="825" customFormat="1" ht="15" customHeight="1" x14ac:dyDescent="0.2">
      <c r="A254" s="816" t="s">
        <v>866</v>
      </c>
      <c r="B254" s="814" t="s">
        <v>867</v>
      </c>
      <c r="C254" s="814" t="s">
        <v>53</v>
      </c>
      <c r="D254" s="815">
        <v>41292</v>
      </c>
      <c r="E254" s="816">
        <v>1041</v>
      </c>
      <c r="F254" s="817">
        <v>41.42</v>
      </c>
      <c r="G254" s="818">
        <f t="shared" si="49"/>
        <v>43118.22</v>
      </c>
      <c r="H254" s="819"/>
      <c r="I254" s="843">
        <v>41417</v>
      </c>
      <c r="J254" s="820">
        <v>45.95</v>
      </c>
      <c r="K254" s="821">
        <f t="shared" si="50"/>
        <v>47833.950000000004</v>
      </c>
      <c r="L254" s="822">
        <f t="shared" si="51"/>
        <v>4715.7300000000032</v>
      </c>
      <c r="M254" s="852">
        <v>1</v>
      </c>
      <c r="N254" s="824">
        <f>SUM(K254-G254)*M254</f>
        <v>4715.7300000000032</v>
      </c>
    </row>
    <row r="255" spans="1:14" s="825" customFormat="1" ht="15" customHeight="1" x14ac:dyDescent="0.2">
      <c r="A255" s="816" t="s">
        <v>852</v>
      </c>
      <c r="B255" s="814" t="s">
        <v>853</v>
      </c>
      <c r="C255" s="814" t="s">
        <v>53</v>
      </c>
      <c r="D255" s="815">
        <v>41163</v>
      </c>
      <c r="E255" s="816">
        <v>1052</v>
      </c>
      <c r="F255" s="817">
        <v>66.25</v>
      </c>
      <c r="G255" s="818">
        <f t="shared" si="49"/>
        <v>69695</v>
      </c>
      <c r="H255" s="819"/>
      <c r="I255" s="843">
        <v>41437</v>
      </c>
      <c r="J255" s="820">
        <v>81.63</v>
      </c>
      <c r="K255" s="821">
        <f t="shared" si="50"/>
        <v>85874.76</v>
      </c>
      <c r="L255" s="822">
        <f t="shared" si="51"/>
        <v>16179.759999999995</v>
      </c>
      <c r="M255" s="852">
        <v>1</v>
      </c>
      <c r="N255" s="824">
        <f>SUM(K255-G255)*M255</f>
        <v>16179.759999999995</v>
      </c>
    </row>
    <row r="256" spans="1:14" s="825" customFormat="1" ht="15" customHeight="1" x14ac:dyDescent="0.2">
      <c r="A256" s="816" t="s">
        <v>873</v>
      </c>
      <c r="B256" s="814" t="s">
        <v>874</v>
      </c>
      <c r="C256" s="814" t="s">
        <v>53</v>
      </c>
      <c r="D256" s="815">
        <v>41299</v>
      </c>
      <c r="E256" s="816">
        <v>163</v>
      </c>
      <c r="F256" s="817">
        <v>170.15</v>
      </c>
      <c r="G256" s="818">
        <f t="shared" si="49"/>
        <v>27734.45</v>
      </c>
      <c r="H256" s="856"/>
      <c r="I256" s="843">
        <v>41445</v>
      </c>
      <c r="J256" s="820">
        <v>165.39</v>
      </c>
      <c r="K256" s="821">
        <f t="shared" si="50"/>
        <v>26958.569999999996</v>
      </c>
      <c r="L256" s="822">
        <f t="shared" si="51"/>
        <v>-775.88000000000466</v>
      </c>
      <c r="M256" s="852">
        <v>1</v>
      </c>
      <c r="N256" s="824">
        <f>SUM(K256-G256)*M256</f>
        <v>-775.88000000000466</v>
      </c>
    </row>
    <row r="257" spans="1:16" s="825" customFormat="1" ht="15" customHeight="1" x14ac:dyDescent="0.2">
      <c r="A257" s="862" t="s">
        <v>602</v>
      </c>
      <c r="B257" s="814" t="s">
        <v>603</v>
      </c>
      <c r="C257" s="814" t="s">
        <v>53</v>
      </c>
      <c r="D257" s="815">
        <v>41305</v>
      </c>
      <c r="E257" s="816">
        <v>625</v>
      </c>
      <c r="F257" s="817">
        <v>63.36</v>
      </c>
      <c r="G257" s="818">
        <f t="shared" si="49"/>
        <v>39600</v>
      </c>
      <c r="H257" s="819"/>
      <c r="I257" s="843">
        <v>41417</v>
      </c>
      <c r="J257" s="820">
        <v>68.78</v>
      </c>
      <c r="K257" s="821">
        <f t="shared" si="50"/>
        <v>42987.5</v>
      </c>
      <c r="L257" s="822">
        <f t="shared" si="51"/>
        <v>3387.5</v>
      </c>
      <c r="M257" s="852">
        <v>1</v>
      </c>
      <c r="N257" s="824">
        <f t="shared" ref="N257:N277" si="52">SUM(L257*M257)</f>
        <v>3387.5</v>
      </c>
    </row>
    <row r="258" spans="1:16" s="825" customFormat="1" ht="15" customHeight="1" x14ac:dyDescent="0.2">
      <c r="A258" s="862" t="s">
        <v>527</v>
      </c>
      <c r="B258" s="814" t="s">
        <v>528</v>
      </c>
      <c r="C258" s="814" t="s">
        <v>53</v>
      </c>
      <c r="D258" s="815">
        <v>41306</v>
      </c>
      <c r="E258" s="816">
        <v>581</v>
      </c>
      <c r="F258" s="817">
        <v>73.2</v>
      </c>
      <c r="G258" s="818">
        <f t="shared" si="49"/>
        <v>42529.200000000004</v>
      </c>
      <c r="H258" s="819"/>
      <c r="I258" s="843">
        <v>41446</v>
      </c>
      <c r="J258" s="820">
        <v>75.78</v>
      </c>
      <c r="K258" s="821">
        <f t="shared" si="50"/>
        <v>44028.18</v>
      </c>
      <c r="L258" s="822">
        <f t="shared" si="51"/>
        <v>1498.9799999999959</v>
      </c>
      <c r="M258" s="852">
        <v>1</v>
      </c>
      <c r="N258" s="824">
        <f t="shared" si="52"/>
        <v>1498.9799999999959</v>
      </c>
    </row>
    <row r="259" spans="1:16" s="825" customFormat="1" ht="15" customHeight="1" x14ac:dyDescent="0.2">
      <c r="A259" s="862" t="s">
        <v>662</v>
      </c>
      <c r="B259" s="814" t="s">
        <v>663</v>
      </c>
      <c r="C259" s="814" t="s">
        <v>53</v>
      </c>
      <c r="D259" s="815">
        <v>41312</v>
      </c>
      <c r="E259" s="816">
        <v>1000</v>
      </c>
      <c r="F259" s="817">
        <v>42.38</v>
      </c>
      <c r="G259" s="818">
        <f t="shared" si="49"/>
        <v>42380</v>
      </c>
      <c r="H259" s="819"/>
      <c r="I259" s="815">
        <v>41417</v>
      </c>
      <c r="J259" s="814">
        <v>48.35</v>
      </c>
      <c r="K259" s="821">
        <f t="shared" si="50"/>
        <v>48350</v>
      </c>
      <c r="L259" s="822">
        <f t="shared" si="51"/>
        <v>5970</v>
      </c>
      <c r="M259" s="852">
        <v>1</v>
      </c>
      <c r="N259" s="824">
        <f t="shared" si="52"/>
        <v>5970</v>
      </c>
    </row>
    <row r="260" spans="1:16" s="825" customFormat="1" ht="15" customHeight="1" x14ac:dyDescent="0.2">
      <c r="A260" s="862" t="s">
        <v>970</v>
      </c>
      <c r="B260" s="814" t="s">
        <v>559</v>
      </c>
      <c r="C260" s="814" t="s">
        <v>53</v>
      </c>
      <c r="D260" s="815">
        <v>41313</v>
      </c>
      <c r="E260" s="816">
        <v>1000</v>
      </c>
      <c r="F260" s="817">
        <v>37.659999999999997</v>
      </c>
      <c r="G260" s="818">
        <f t="shared" si="49"/>
        <v>37660</v>
      </c>
      <c r="H260" s="819"/>
      <c r="I260" s="815">
        <v>41423</v>
      </c>
      <c r="J260" s="814">
        <v>45.09</v>
      </c>
      <c r="K260" s="821">
        <f t="shared" si="50"/>
        <v>45090</v>
      </c>
      <c r="L260" s="822">
        <f t="shared" si="51"/>
        <v>7430</v>
      </c>
      <c r="M260" s="852">
        <v>1</v>
      </c>
      <c r="N260" s="824">
        <f t="shared" si="52"/>
        <v>7430</v>
      </c>
    </row>
    <row r="261" spans="1:16" s="825" customFormat="1" ht="15" customHeight="1" x14ac:dyDescent="0.2">
      <c r="A261" s="862" t="s">
        <v>1007</v>
      </c>
      <c r="B261" s="814" t="s">
        <v>1006</v>
      </c>
      <c r="C261" s="814" t="s">
        <v>53</v>
      </c>
      <c r="D261" s="815">
        <v>41320</v>
      </c>
      <c r="E261" s="816">
        <v>1612</v>
      </c>
      <c r="F261" s="817">
        <v>12.56</v>
      </c>
      <c r="G261" s="818">
        <f t="shared" si="49"/>
        <v>20246.72</v>
      </c>
      <c r="H261" s="819"/>
      <c r="I261" s="815">
        <v>41417</v>
      </c>
      <c r="J261" s="814">
        <v>14.22</v>
      </c>
      <c r="K261" s="821">
        <f t="shared" si="50"/>
        <v>22922.639999999999</v>
      </c>
      <c r="L261" s="822">
        <f t="shared" si="51"/>
        <v>2675.9199999999983</v>
      </c>
      <c r="M261" s="852">
        <v>1</v>
      </c>
      <c r="N261" s="824">
        <f t="shared" si="52"/>
        <v>2675.9199999999983</v>
      </c>
    </row>
    <row r="262" spans="1:16" s="825" customFormat="1" ht="15" customHeight="1" x14ac:dyDescent="0.2">
      <c r="A262" s="862" t="s">
        <v>1008</v>
      </c>
      <c r="B262" s="814" t="s">
        <v>1009</v>
      </c>
      <c r="C262" s="814" t="s">
        <v>53</v>
      </c>
      <c r="D262" s="815">
        <v>41320</v>
      </c>
      <c r="E262" s="816">
        <v>1250</v>
      </c>
      <c r="F262" s="817">
        <v>23.82</v>
      </c>
      <c r="G262" s="818">
        <f t="shared" si="49"/>
        <v>29775</v>
      </c>
      <c r="H262" s="819"/>
      <c r="I262" s="815">
        <v>41430</v>
      </c>
      <c r="J262" s="814">
        <v>24.81</v>
      </c>
      <c r="K262" s="821">
        <f t="shared" si="50"/>
        <v>31012.5</v>
      </c>
      <c r="L262" s="822">
        <f t="shared" si="51"/>
        <v>1237.5</v>
      </c>
      <c r="M262" s="852">
        <v>1</v>
      </c>
      <c r="N262" s="824">
        <f t="shared" si="52"/>
        <v>1237.5</v>
      </c>
    </row>
    <row r="263" spans="1:16" s="825" customFormat="1" ht="15" customHeight="1" x14ac:dyDescent="0.2">
      <c r="A263" s="862" t="s">
        <v>583</v>
      </c>
      <c r="B263" s="814" t="s">
        <v>584</v>
      </c>
      <c r="C263" s="814" t="s">
        <v>53</v>
      </c>
      <c r="D263" s="815">
        <v>41320</v>
      </c>
      <c r="E263" s="816">
        <v>682</v>
      </c>
      <c r="F263" s="817">
        <v>91.54</v>
      </c>
      <c r="G263" s="818">
        <f t="shared" si="49"/>
        <v>62430.280000000006</v>
      </c>
      <c r="H263" s="819"/>
      <c r="I263" s="815">
        <v>41431</v>
      </c>
      <c r="J263" s="814">
        <v>99.6</v>
      </c>
      <c r="K263" s="821">
        <f t="shared" si="50"/>
        <v>67927.199999999997</v>
      </c>
      <c r="L263" s="822">
        <f t="shared" si="51"/>
        <v>5496.919999999991</v>
      </c>
      <c r="M263" s="852">
        <v>1</v>
      </c>
      <c r="N263" s="824">
        <f t="shared" si="52"/>
        <v>5496.919999999991</v>
      </c>
    </row>
    <row r="264" spans="1:16" s="825" customFormat="1" ht="15" customHeight="1" x14ac:dyDescent="0.2">
      <c r="A264" s="862" t="s">
        <v>1020</v>
      </c>
      <c r="B264" s="814" t="s">
        <v>1021</v>
      </c>
      <c r="C264" s="814" t="s">
        <v>53</v>
      </c>
      <c r="D264" s="815">
        <v>41325</v>
      </c>
      <c r="E264" s="816">
        <v>746</v>
      </c>
      <c r="F264" s="817">
        <v>56.29</v>
      </c>
      <c r="G264" s="818">
        <f t="shared" si="49"/>
        <v>41992.34</v>
      </c>
      <c r="H264" s="819"/>
      <c r="I264" s="815">
        <v>41417</v>
      </c>
      <c r="J264" s="814">
        <v>58.13</v>
      </c>
      <c r="K264" s="821">
        <f t="shared" si="50"/>
        <v>43364.98</v>
      </c>
      <c r="L264" s="822">
        <f t="shared" si="51"/>
        <v>1372.6400000000067</v>
      </c>
      <c r="M264" s="852">
        <v>1</v>
      </c>
      <c r="N264" s="824">
        <f t="shared" si="52"/>
        <v>1372.6400000000067</v>
      </c>
    </row>
    <row r="265" spans="1:16" s="825" customFormat="1" ht="15" customHeight="1" x14ac:dyDescent="0.2">
      <c r="A265" s="862" t="s">
        <v>1019</v>
      </c>
      <c r="B265" s="814" t="s">
        <v>79</v>
      </c>
      <c r="C265" s="814" t="s">
        <v>53</v>
      </c>
      <c r="D265" s="815">
        <v>41325</v>
      </c>
      <c r="E265" s="816">
        <v>1072</v>
      </c>
      <c r="F265" s="817">
        <v>56.18</v>
      </c>
      <c r="G265" s="818">
        <f t="shared" si="49"/>
        <v>60224.959999999999</v>
      </c>
      <c r="H265" s="819"/>
      <c r="I265" s="815">
        <v>41425</v>
      </c>
      <c r="J265" s="814">
        <v>59.78</v>
      </c>
      <c r="K265" s="821">
        <f t="shared" si="50"/>
        <v>64084.160000000003</v>
      </c>
      <c r="L265" s="822">
        <f t="shared" si="51"/>
        <v>3859.2000000000044</v>
      </c>
      <c r="M265" s="852">
        <v>1</v>
      </c>
      <c r="N265" s="824">
        <f t="shared" si="52"/>
        <v>3859.2000000000044</v>
      </c>
    </row>
    <row r="266" spans="1:16" s="825" customFormat="1" ht="15" customHeight="1" x14ac:dyDescent="0.2">
      <c r="A266" s="862" t="s">
        <v>1036</v>
      </c>
      <c r="B266" s="814" t="s">
        <v>1037</v>
      </c>
      <c r="C266" s="814" t="s">
        <v>53</v>
      </c>
      <c r="D266" s="815">
        <v>41326</v>
      </c>
      <c r="E266" s="816">
        <v>543</v>
      </c>
      <c r="F266" s="817">
        <v>73.14</v>
      </c>
      <c r="G266" s="818">
        <f t="shared" si="49"/>
        <v>39715.019999999997</v>
      </c>
      <c r="H266" s="819"/>
      <c r="I266" s="815">
        <v>41417</v>
      </c>
      <c r="J266" s="814">
        <v>78.05</v>
      </c>
      <c r="K266" s="821">
        <f t="shared" si="50"/>
        <v>42381.15</v>
      </c>
      <c r="L266" s="822">
        <f t="shared" si="51"/>
        <v>2666.1300000000047</v>
      </c>
      <c r="M266" s="852">
        <v>1</v>
      </c>
      <c r="N266" s="824">
        <f t="shared" si="52"/>
        <v>2666.1300000000047</v>
      </c>
    </row>
    <row r="267" spans="1:16" s="825" customFormat="1" ht="15" customHeight="1" x14ac:dyDescent="0.2">
      <c r="A267" s="862" t="s">
        <v>1060</v>
      </c>
      <c r="B267" s="814" t="s">
        <v>1059</v>
      </c>
      <c r="C267" s="814" t="s">
        <v>53</v>
      </c>
      <c r="D267" s="815">
        <v>41332</v>
      </c>
      <c r="E267" s="816">
        <v>694</v>
      </c>
      <c r="F267" s="817">
        <v>39.5</v>
      </c>
      <c r="G267" s="818">
        <f t="shared" si="49"/>
        <v>27413</v>
      </c>
      <c r="H267" s="819"/>
      <c r="I267" s="815">
        <v>41418</v>
      </c>
      <c r="J267" s="814">
        <v>43.46</v>
      </c>
      <c r="K267" s="821">
        <f t="shared" si="50"/>
        <v>30161.24</v>
      </c>
      <c r="L267" s="822">
        <f t="shared" si="51"/>
        <v>2748.2400000000016</v>
      </c>
      <c r="M267" s="852">
        <v>1</v>
      </c>
      <c r="N267" s="824">
        <f t="shared" si="52"/>
        <v>2748.2400000000016</v>
      </c>
    </row>
    <row r="268" spans="1:16" s="825" customFormat="1" ht="15" customHeight="1" x14ac:dyDescent="0.2">
      <c r="A268" s="862" t="s">
        <v>1089</v>
      </c>
      <c r="B268" s="814" t="s">
        <v>645</v>
      </c>
      <c r="C268" s="814" t="s">
        <v>53</v>
      </c>
      <c r="D268" s="815">
        <v>41339</v>
      </c>
      <c r="E268" s="816">
        <v>657</v>
      </c>
      <c r="F268" s="817">
        <v>86.14</v>
      </c>
      <c r="G268" s="818">
        <f t="shared" si="49"/>
        <v>56593.98</v>
      </c>
      <c r="H268" s="819"/>
      <c r="I268" s="815">
        <v>41428</v>
      </c>
      <c r="J268" s="814">
        <v>86.58</v>
      </c>
      <c r="K268" s="821">
        <f t="shared" si="50"/>
        <v>56883.06</v>
      </c>
      <c r="L268" s="822">
        <f t="shared" si="51"/>
        <v>289.07999999999447</v>
      </c>
      <c r="M268" s="852">
        <v>1</v>
      </c>
      <c r="N268" s="824">
        <f t="shared" si="52"/>
        <v>289.07999999999447</v>
      </c>
    </row>
    <row r="269" spans="1:16" s="825" customFormat="1" ht="15" customHeight="1" x14ac:dyDescent="0.2">
      <c r="A269" s="862" t="s">
        <v>482</v>
      </c>
      <c r="B269" s="814" t="s">
        <v>483</v>
      </c>
      <c r="C269" s="814" t="s">
        <v>53</v>
      </c>
      <c r="D269" s="815">
        <v>41339</v>
      </c>
      <c r="E269" s="816">
        <v>862</v>
      </c>
      <c r="F269" s="817">
        <v>36.04</v>
      </c>
      <c r="G269" s="818">
        <f t="shared" si="49"/>
        <v>31066.48</v>
      </c>
      <c r="H269" s="819"/>
      <c r="I269" s="815">
        <v>41449</v>
      </c>
      <c r="J269" s="814">
        <v>39.4</v>
      </c>
      <c r="K269" s="821">
        <f t="shared" si="50"/>
        <v>33962.799999999996</v>
      </c>
      <c r="L269" s="822">
        <f t="shared" si="51"/>
        <v>2896.3199999999961</v>
      </c>
      <c r="M269" s="852">
        <v>1</v>
      </c>
      <c r="N269" s="824">
        <f t="shared" si="52"/>
        <v>2896.3199999999961</v>
      </c>
    </row>
    <row r="270" spans="1:16" s="825" customFormat="1" ht="15" customHeight="1" x14ac:dyDescent="0.2">
      <c r="A270" s="862" t="s">
        <v>1093</v>
      </c>
      <c r="B270" s="814" t="s">
        <v>1092</v>
      </c>
      <c r="C270" s="814" t="s">
        <v>53</v>
      </c>
      <c r="D270" s="815">
        <v>41339</v>
      </c>
      <c r="E270" s="816">
        <v>646</v>
      </c>
      <c r="F270" s="817">
        <v>60.42</v>
      </c>
      <c r="G270" s="818">
        <f t="shared" si="49"/>
        <v>39031.32</v>
      </c>
      <c r="H270" s="819"/>
      <c r="I270" s="815">
        <v>41488</v>
      </c>
      <c r="J270" s="814">
        <v>71.67</v>
      </c>
      <c r="K270" s="821">
        <f t="shared" si="50"/>
        <v>46298.82</v>
      </c>
      <c r="L270" s="822">
        <f t="shared" si="51"/>
        <v>7267.5</v>
      </c>
      <c r="M270" s="852">
        <v>1</v>
      </c>
      <c r="N270" s="824">
        <f t="shared" si="52"/>
        <v>7267.5</v>
      </c>
      <c r="O270" s="845"/>
      <c r="P270" s="845"/>
    </row>
    <row r="271" spans="1:16" s="825" customFormat="1" ht="15" customHeight="1" x14ac:dyDescent="0.2">
      <c r="A271" s="862" t="s">
        <v>1098</v>
      </c>
      <c r="B271" s="814" t="s">
        <v>1099</v>
      </c>
      <c r="C271" s="814" t="s">
        <v>53</v>
      </c>
      <c r="D271" s="815">
        <v>41341</v>
      </c>
      <c r="E271" s="816">
        <v>298</v>
      </c>
      <c r="F271" s="817">
        <v>98.13</v>
      </c>
      <c r="G271" s="818">
        <f t="shared" si="49"/>
        <v>29242.739999999998</v>
      </c>
      <c r="H271" s="819"/>
      <c r="I271" s="815">
        <v>41423</v>
      </c>
      <c r="J271" s="814">
        <v>98.64</v>
      </c>
      <c r="K271" s="821">
        <f t="shared" si="50"/>
        <v>29394.720000000001</v>
      </c>
      <c r="L271" s="822">
        <f t="shared" si="51"/>
        <v>151.9800000000032</v>
      </c>
      <c r="M271" s="852">
        <v>1</v>
      </c>
      <c r="N271" s="824">
        <f t="shared" si="52"/>
        <v>151.9800000000032</v>
      </c>
    </row>
    <row r="272" spans="1:16" s="825" customFormat="1" ht="15" customHeight="1" x14ac:dyDescent="0.2">
      <c r="A272" s="862" t="s">
        <v>1108</v>
      </c>
      <c r="B272" s="814" t="s">
        <v>1109</v>
      </c>
      <c r="C272" s="814" t="s">
        <v>53</v>
      </c>
      <c r="D272" s="815">
        <v>41345</v>
      </c>
      <c r="E272" s="816">
        <v>760</v>
      </c>
      <c r="F272" s="817">
        <v>36.130000000000003</v>
      </c>
      <c r="G272" s="818">
        <f t="shared" si="49"/>
        <v>27458.800000000003</v>
      </c>
      <c r="H272" s="819"/>
      <c r="I272" s="815">
        <v>41417</v>
      </c>
      <c r="J272" s="814">
        <v>37.450000000000003</v>
      </c>
      <c r="K272" s="821">
        <f t="shared" si="50"/>
        <v>28462.000000000004</v>
      </c>
      <c r="L272" s="822">
        <f t="shared" si="51"/>
        <v>1003.2000000000007</v>
      </c>
      <c r="M272" s="852">
        <v>1</v>
      </c>
      <c r="N272" s="824">
        <f t="shared" si="52"/>
        <v>1003.2000000000007</v>
      </c>
    </row>
    <row r="273" spans="1:14" s="825" customFormat="1" ht="15" customHeight="1" x14ac:dyDescent="0.2">
      <c r="A273" s="862" t="s">
        <v>598</v>
      </c>
      <c r="B273" s="814" t="s">
        <v>599</v>
      </c>
      <c r="C273" s="814" t="s">
        <v>53</v>
      </c>
      <c r="D273" s="815">
        <v>41348</v>
      </c>
      <c r="E273" s="816">
        <v>1470</v>
      </c>
      <c r="F273" s="817">
        <v>23.84</v>
      </c>
      <c r="G273" s="818">
        <f t="shared" si="49"/>
        <v>35044.800000000003</v>
      </c>
      <c r="H273" s="819"/>
      <c r="I273" s="815">
        <v>41417</v>
      </c>
      <c r="J273" s="814">
        <v>23.46</v>
      </c>
      <c r="K273" s="821">
        <f t="shared" si="50"/>
        <v>34486.200000000004</v>
      </c>
      <c r="L273" s="822">
        <f t="shared" si="51"/>
        <v>-558.59999999999854</v>
      </c>
      <c r="M273" s="852">
        <v>1</v>
      </c>
      <c r="N273" s="824">
        <f t="shared" si="52"/>
        <v>-558.59999999999854</v>
      </c>
    </row>
    <row r="274" spans="1:14" s="825" customFormat="1" ht="15" customHeight="1" x14ac:dyDescent="0.2">
      <c r="A274" s="862" t="s">
        <v>970</v>
      </c>
      <c r="B274" s="814" t="s">
        <v>559</v>
      </c>
      <c r="C274" s="814" t="s">
        <v>53</v>
      </c>
      <c r="D274" s="815">
        <v>41353</v>
      </c>
      <c r="E274" s="816">
        <v>847</v>
      </c>
      <c r="F274" s="817">
        <v>42.435000000000002</v>
      </c>
      <c r="G274" s="818">
        <f t="shared" si="49"/>
        <v>35942.445</v>
      </c>
      <c r="H274" s="819"/>
      <c r="I274" s="815">
        <v>41423</v>
      </c>
      <c r="J274" s="814">
        <v>45.09</v>
      </c>
      <c r="K274" s="821">
        <f t="shared" si="50"/>
        <v>38191.230000000003</v>
      </c>
      <c r="L274" s="822">
        <f t="shared" si="51"/>
        <v>2248.7850000000035</v>
      </c>
      <c r="M274" s="852">
        <v>1</v>
      </c>
      <c r="N274" s="824">
        <f t="shared" si="52"/>
        <v>2248.7850000000035</v>
      </c>
    </row>
    <row r="275" spans="1:14" s="825" customFormat="1" ht="15" customHeight="1" x14ac:dyDescent="0.2">
      <c r="A275" s="862" t="s">
        <v>458</v>
      </c>
      <c r="B275" s="814" t="s">
        <v>459</v>
      </c>
      <c r="C275" s="814" t="s">
        <v>53</v>
      </c>
      <c r="D275" s="815">
        <v>41358</v>
      </c>
      <c r="E275" s="816">
        <v>862</v>
      </c>
      <c r="F275" s="817">
        <v>50.92</v>
      </c>
      <c r="G275" s="818">
        <f t="shared" si="49"/>
        <v>43893.04</v>
      </c>
      <c r="H275" s="819"/>
      <c r="I275" s="815">
        <v>41423</v>
      </c>
      <c r="J275" s="814">
        <v>50.33</v>
      </c>
      <c r="K275" s="821">
        <f t="shared" si="50"/>
        <v>43384.46</v>
      </c>
      <c r="L275" s="822">
        <f t="shared" si="51"/>
        <v>-508.58000000000175</v>
      </c>
      <c r="M275" s="852">
        <v>1</v>
      </c>
      <c r="N275" s="824">
        <f t="shared" si="52"/>
        <v>-508.58000000000175</v>
      </c>
    </row>
    <row r="276" spans="1:14" s="825" customFormat="1" ht="15" customHeight="1" x14ac:dyDescent="0.2">
      <c r="A276" s="862" t="s">
        <v>1126</v>
      </c>
      <c r="B276" s="814" t="s">
        <v>213</v>
      </c>
      <c r="C276" s="814" t="s">
        <v>53</v>
      </c>
      <c r="D276" s="815">
        <v>41361</v>
      </c>
      <c r="E276" s="816">
        <v>961</v>
      </c>
      <c r="F276" s="817">
        <v>42</v>
      </c>
      <c r="G276" s="818">
        <f t="shared" si="49"/>
        <v>40362</v>
      </c>
      <c r="H276" s="819"/>
      <c r="I276" s="815">
        <v>41417</v>
      </c>
      <c r="J276" s="816">
        <v>42.28</v>
      </c>
      <c r="K276" s="821">
        <f t="shared" si="50"/>
        <v>40631.08</v>
      </c>
      <c r="L276" s="822">
        <f t="shared" si="51"/>
        <v>269.08000000000175</v>
      </c>
      <c r="M276" s="852">
        <v>1</v>
      </c>
      <c r="N276" s="824">
        <f t="shared" si="52"/>
        <v>269.08000000000175</v>
      </c>
    </row>
    <row r="277" spans="1:14" s="825" customFormat="1" ht="15" customHeight="1" x14ac:dyDescent="0.2">
      <c r="A277" s="862" t="s">
        <v>1136</v>
      </c>
      <c r="B277" s="814" t="s">
        <v>1137</v>
      </c>
      <c r="C277" s="814" t="s">
        <v>53</v>
      </c>
      <c r="D277" s="815">
        <v>41365</v>
      </c>
      <c r="E277" s="816">
        <v>1890</v>
      </c>
      <c r="F277" s="817">
        <v>35.229999999999997</v>
      </c>
      <c r="G277" s="818">
        <f t="shared" si="49"/>
        <v>66584.7</v>
      </c>
      <c r="H277" s="819"/>
      <c r="I277" s="815">
        <v>41430</v>
      </c>
      <c r="J277" s="816">
        <v>36.520000000000003</v>
      </c>
      <c r="K277" s="821">
        <f t="shared" si="50"/>
        <v>69022.8</v>
      </c>
      <c r="L277" s="822">
        <f t="shared" si="51"/>
        <v>2438.1000000000058</v>
      </c>
      <c r="M277" s="852">
        <v>1</v>
      </c>
      <c r="N277" s="824">
        <f t="shared" si="52"/>
        <v>2438.1000000000058</v>
      </c>
    </row>
    <row r="278" spans="1:14" s="825" customFormat="1" ht="15" customHeight="1" x14ac:dyDescent="0.2">
      <c r="A278" s="862" t="s">
        <v>1219</v>
      </c>
      <c r="B278" s="834" t="s">
        <v>1220</v>
      </c>
      <c r="C278" s="834" t="s">
        <v>53</v>
      </c>
      <c r="D278" s="843">
        <v>41397</v>
      </c>
      <c r="E278" s="858">
        <v>995</v>
      </c>
      <c r="F278" s="859">
        <v>53.28</v>
      </c>
      <c r="G278" s="859">
        <f t="shared" si="49"/>
        <v>53013.599999999999</v>
      </c>
      <c r="H278" s="859"/>
      <c r="I278" s="860">
        <v>41418</v>
      </c>
      <c r="J278" s="816">
        <v>55.18</v>
      </c>
      <c r="K278" s="821">
        <f t="shared" ref="K278:K289" si="53">SUM(E278*J278)</f>
        <v>54904.1</v>
      </c>
      <c r="L278" s="822">
        <f t="shared" ref="L278:L287" si="54">SUM(K278-G278)</f>
        <v>1890.5</v>
      </c>
      <c r="M278" s="852">
        <v>1</v>
      </c>
      <c r="N278" s="824">
        <f t="shared" ref="N278:N289" si="55">SUM(L278*M278)</f>
        <v>1890.5</v>
      </c>
    </row>
    <row r="279" spans="1:14" s="825" customFormat="1" ht="15" customHeight="1" x14ac:dyDescent="0.2">
      <c r="A279" s="862" t="s">
        <v>1223</v>
      </c>
      <c r="B279" s="834" t="s">
        <v>1224</v>
      </c>
      <c r="C279" s="834" t="s">
        <v>53</v>
      </c>
      <c r="D279" s="861">
        <v>41400</v>
      </c>
      <c r="E279" s="858">
        <v>1130</v>
      </c>
      <c r="F279" s="859">
        <v>61.04</v>
      </c>
      <c r="G279" s="859">
        <f t="shared" si="49"/>
        <v>68975.199999999997</v>
      </c>
      <c r="H279" s="859"/>
      <c r="I279" s="861">
        <v>41430</v>
      </c>
      <c r="J279" s="862">
        <v>60.81</v>
      </c>
      <c r="K279" s="821">
        <f t="shared" si="53"/>
        <v>68715.3</v>
      </c>
      <c r="L279" s="822">
        <f t="shared" si="54"/>
        <v>-259.89999999999418</v>
      </c>
      <c r="M279" s="852">
        <v>1</v>
      </c>
      <c r="N279" s="824">
        <f t="shared" si="55"/>
        <v>-259.89999999999418</v>
      </c>
    </row>
    <row r="280" spans="1:14" s="825" customFormat="1" ht="15" customHeight="1" x14ac:dyDescent="0.2">
      <c r="A280" s="862" t="s">
        <v>1227</v>
      </c>
      <c r="B280" s="834" t="s">
        <v>1228</v>
      </c>
      <c r="C280" s="834" t="s">
        <v>53</v>
      </c>
      <c r="D280" s="861">
        <v>41401</v>
      </c>
      <c r="E280" s="858">
        <v>1513</v>
      </c>
      <c r="F280" s="859">
        <v>33.130000000000003</v>
      </c>
      <c r="G280" s="859">
        <f t="shared" si="49"/>
        <v>50125.69</v>
      </c>
      <c r="H280" s="859"/>
      <c r="I280" s="861">
        <v>41445</v>
      </c>
      <c r="J280" s="862">
        <v>32.96</v>
      </c>
      <c r="K280" s="821">
        <f t="shared" si="53"/>
        <v>49868.480000000003</v>
      </c>
      <c r="L280" s="822">
        <f t="shared" si="54"/>
        <v>-257.20999999999913</v>
      </c>
      <c r="M280" s="852">
        <v>1</v>
      </c>
      <c r="N280" s="824">
        <f t="shared" si="55"/>
        <v>-257.20999999999913</v>
      </c>
    </row>
    <row r="281" spans="1:14" s="825" customFormat="1" ht="15" customHeight="1" x14ac:dyDescent="0.2">
      <c r="A281" s="862" t="s">
        <v>1221</v>
      </c>
      <c r="B281" s="834" t="s">
        <v>1222</v>
      </c>
      <c r="C281" s="834" t="s">
        <v>53</v>
      </c>
      <c r="D281" s="861">
        <v>41404</v>
      </c>
      <c r="E281" s="858">
        <v>1806</v>
      </c>
      <c r="F281" s="859">
        <v>25.43</v>
      </c>
      <c r="G281" s="859">
        <f t="shared" ref="G281:G297" si="56">SUM(E281*F281)</f>
        <v>45926.58</v>
      </c>
      <c r="H281" s="859"/>
      <c r="I281" s="861">
        <v>41430</v>
      </c>
      <c r="J281" s="862">
        <v>24.42</v>
      </c>
      <c r="K281" s="821">
        <f t="shared" si="53"/>
        <v>44102.520000000004</v>
      </c>
      <c r="L281" s="822">
        <f t="shared" si="54"/>
        <v>-1824.0599999999977</v>
      </c>
      <c r="M281" s="852">
        <v>1</v>
      </c>
      <c r="N281" s="824">
        <f t="shared" si="55"/>
        <v>-1824.0599999999977</v>
      </c>
    </row>
    <row r="282" spans="1:14" s="825" customFormat="1" ht="15" customHeight="1" x14ac:dyDescent="0.2">
      <c r="A282" s="862" t="s">
        <v>866</v>
      </c>
      <c r="B282" s="834" t="s">
        <v>867</v>
      </c>
      <c r="C282" s="834" t="s">
        <v>53</v>
      </c>
      <c r="D282" s="860">
        <v>41408</v>
      </c>
      <c r="E282" s="855">
        <v>1382</v>
      </c>
      <c r="F282" s="859">
        <v>50.02</v>
      </c>
      <c r="G282" s="859">
        <f t="shared" si="56"/>
        <v>69127.64</v>
      </c>
      <c r="H282" s="859"/>
      <c r="I282" s="860">
        <v>41415</v>
      </c>
      <c r="J282" s="816">
        <v>48.4</v>
      </c>
      <c r="K282" s="821">
        <f t="shared" si="53"/>
        <v>66888.800000000003</v>
      </c>
      <c r="L282" s="822">
        <f t="shared" si="54"/>
        <v>-2238.8399999999965</v>
      </c>
      <c r="M282" s="852">
        <v>1</v>
      </c>
      <c r="N282" s="824">
        <f t="shared" si="55"/>
        <v>-2238.8399999999965</v>
      </c>
    </row>
    <row r="283" spans="1:14" s="825" customFormat="1" ht="15" customHeight="1" x14ac:dyDescent="0.2">
      <c r="A283" s="862" t="s">
        <v>1163</v>
      </c>
      <c r="B283" s="814" t="s">
        <v>1164</v>
      </c>
      <c r="C283" s="814" t="s">
        <v>53</v>
      </c>
      <c r="D283" s="860">
        <v>41408</v>
      </c>
      <c r="E283" s="855">
        <v>949</v>
      </c>
      <c r="F283" s="817">
        <v>13.31</v>
      </c>
      <c r="G283" s="859">
        <f t="shared" si="56"/>
        <v>12631.19</v>
      </c>
      <c r="H283" s="817"/>
      <c r="I283" s="860">
        <v>41446</v>
      </c>
      <c r="J283" s="816">
        <v>12.78</v>
      </c>
      <c r="K283" s="821">
        <f t="shared" si="53"/>
        <v>12128.22</v>
      </c>
      <c r="L283" s="822">
        <f t="shared" si="54"/>
        <v>-502.97000000000116</v>
      </c>
      <c r="M283" s="852">
        <v>1</v>
      </c>
      <c r="N283" s="824">
        <f t="shared" si="55"/>
        <v>-502.97000000000116</v>
      </c>
    </row>
    <row r="284" spans="1:14" s="825" customFormat="1" ht="15" customHeight="1" x14ac:dyDescent="0.2">
      <c r="A284" s="862" t="s">
        <v>621</v>
      </c>
      <c r="B284" s="834" t="s">
        <v>622</v>
      </c>
      <c r="C284" s="834" t="s">
        <v>53</v>
      </c>
      <c r="D284" s="860">
        <v>41409</v>
      </c>
      <c r="E284" s="855">
        <v>589</v>
      </c>
      <c r="F284" s="859">
        <v>109.15</v>
      </c>
      <c r="G284" s="859">
        <f t="shared" si="56"/>
        <v>64289.350000000006</v>
      </c>
      <c r="H284" s="859"/>
      <c r="I284" s="860">
        <v>41417</v>
      </c>
      <c r="J284" s="816">
        <v>105.35</v>
      </c>
      <c r="K284" s="821">
        <f t="shared" si="53"/>
        <v>62051.149999999994</v>
      </c>
      <c r="L284" s="822">
        <f t="shared" si="54"/>
        <v>-2238.2000000000116</v>
      </c>
      <c r="M284" s="852">
        <v>1</v>
      </c>
      <c r="N284" s="824">
        <f t="shared" si="55"/>
        <v>-2238.2000000000116</v>
      </c>
    </row>
    <row r="285" spans="1:14" s="825" customFormat="1" ht="15" customHeight="1" x14ac:dyDescent="0.2">
      <c r="A285" s="862" t="s">
        <v>1242</v>
      </c>
      <c r="B285" s="834" t="s">
        <v>1243</v>
      </c>
      <c r="C285" s="834" t="s">
        <v>53</v>
      </c>
      <c r="D285" s="860">
        <v>41409</v>
      </c>
      <c r="E285" s="855">
        <v>613</v>
      </c>
      <c r="F285" s="859">
        <v>98.05</v>
      </c>
      <c r="G285" s="859">
        <f t="shared" si="56"/>
        <v>60104.65</v>
      </c>
      <c r="H285" s="859"/>
      <c r="I285" s="860">
        <v>41478</v>
      </c>
      <c r="J285" s="862">
        <v>99.26</v>
      </c>
      <c r="K285" s="821">
        <f t="shared" si="53"/>
        <v>60846.380000000005</v>
      </c>
      <c r="L285" s="822">
        <f t="shared" si="54"/>
        <v>741.7300000000032</v>
      </c>
      <c r="M285" s="852">
        <v>1</v>
      </c>
      <c r="N285" s="824">
        <f t="shared" si="55"/>
        <v>741.7300000000032</v>
      </c>
    </row>
    <row r="286" spans="1:14" s="825" customFormat="1" ht="15" customHeight="1" x14ac:dyDescent="0.2">
      <c r="A286" s="862" t="s">
        <v>543</v>
      </c>
      <c r="B286" s="834" t="s">
        <v>544</v>
      </c>
      <c r="C286" s="834" t="s">
        <v>53</v>
      </c>
      <c r="D286" s="860">
        <v>41410</v>
      </c>
      <c r="E286" s="855">
        <v>1125</v>
      </c>
      <c r="F286" s="859">
        <v>48.3</v>
      </c>
      <c r="G286" s="859">
        <f t="shared" si="56"/>
        <v>54337.5</v>
      </c>
      <c r="H286" s="859"/>
      <c r="I286" s="860">
        <v>41436</v>
      </c>
      <c r="J286" s="816">
        <v>47.03</v>
      </c>
      <c r="K286" s="821">
        <f t="shared" si="53"/>
        <v>52908.75</v>
      </c>
      <c r="L286" s="822">
        <f t="shared" si="54"/>
        <v>-1428.75</v>
      </c>
      <c r="M286" s="852">
        <v>1</v>
      </c>
      <c r="N286" s="824">
        <f t="shared" si="55"/>
        <v>-1428.75</v>
      </c>
    </row>
    <row r="287" spans="1:14" s="825" customFormat="1" ht="15" customHeight="1" x14ac:dyDescent="0.2">
      <c r="A287" s="862" t="s">
        <v>1231</v>
      </c>
      <c r="B287" s="834" t="s">
        <v>1232</v>
      </c>
      <c r="C287" s="834" t="s">
        <v>53</v>
      </c>
      <c r="D287" s="860">
        <v>41428</v>
      </c>
      <c r="E287" s="855">
        <v>2333</v>
      </c>
      <c r="F287" s="859">
        <v>25.05</v>
      </c>
      <c r="G287" s="859">
        <f t="shared" si="56"/>
        <v>58441.65</v>
      </c>
      <c r="H287" s="859"/>
      <c r="I287" s="860">
        <v>41446</v>
      </c>
      <c r="J287" s="816">
        <v>24.09</v>
      </c>
      <c r="K287" s="821">
        <f t="shared" si="53"/>
        <v>56201.97</v>
      </c>
      <c r="L287" s="822">
        <f t="shared" si="54"/>
        <v>-2239.6800000000003</v>
      </c>
      <c r="M287" s="852">
        <v>1</v>
      </c>
      <c r="N287" s="824">
        <f t="shared" si="55"/>
        <v>-2239.6800000000003</v>
      </c>
    </row>
    <row r="288" spans="1:14" s="868" customFormat="1" ht="15" customHeight="1" x14ac:dyDescent="0.2">
      <c r="A288" s="867" t="s">
        <v>1238</v>
      </c>
      <c r="B288" s="863" t="s">
        <v>1239</v>
      </c>
      <c r="C288" s="863" t="s">
        <v>78</v>
      </c>
      <c r="D288" s="864">
        <v>41428</v>
      </c>
      <c r="E288" s="865">
        <v>1387</v>
      </c>
      <c r="F288" s="866">
        <v>41.67</v>
      </c>
      <c r="G288" s="859">
        <f t="shared" si="56"/>
        <v>57796.29</v>
      </c>
      <c r="H288" s="866"/>
      <c r="I288" s="864">
        <v>41463</v>
      </c>
      <c r="J288" s="867">
        <v>41.62</v>
      </c>
      <c r="K288" s="851">
        <f t="shared" si="53"/>
        <v>57726.939999999995</v>
      </c>
      <c r="L288" s="853">
        <f t="shared" ref="L288:L289" si="57">SUM(G288-K288)</f>
        <v>69.350000000005821</v>
      </c>
      <c r="M288" s="852">
        <v>1</v>
      </c>
      <c r="N288" s="844">
        <f t="shared" si="55"/>
        <v>69.350000000005821</v>
      </c>
    </row>
    <row r="289" spans="1:16" s="868" customFormat="1" ht="15" customHeight="1" x14ac:dyDescent="0.2">
      <c r="A289" s="867" t="s">
        <v>1225</v>
      </c>
      <c r="B289" s="863" t="s">
        <v>1226</v>
      </c>
      <c r="C289" s="863" t="s">
        <v>78</v>
      </c>
      <c r="D289" s="864">
        <v>41431</v>
      </c>
      <c r="E289" s="865">
        <v>1473</v>
      </c>
      <c r="F289" s="866">
        <v>19.75</v>
      </c>
      <c r="G289" s="859">
        <f t="shared" si="56"/>
        <v>29091.75</v>
      </c>
      <c r="H289" s="866"/>
      <c r="I289" s="864">
        <v>41438</v>
      </c>
      <c r="J289" s="867">
        <v>20.87</v>
      </c>
      <c r="K289" s="851">
        <f t="shared" si="53"/>
        <v>30741.510000000002</v>
      </c>
      <c r="L289" s="853">
        <f t="shared" si="57"/>
        <v>-1649.760000000002</v>
      </c>
      <c r="M289" s="852">
        <v>1</v>
      </c>
      <c r="N289" s="844">
        <f t="shared" si="55"/>
        <v>-1649.760000000002</v>
      </c>
    </row>
    <row r="290" spans="1:16" s="825" customFormat="1" ht="15" customHeight="1" x14ac:dyDescent="0.2">
      <c r="A290" s="862" t="s">
        <v>1229</v>
      </c>
      <c r="B290" s="834" t="s">
        <v>1230</v>
      </c>
      <c r="C290" s="834" t="s">
        <v>53</v>
      </c>
      <c r="D290" s="860">
        <v>41432</v>
      </c>
      <c r="E290" s="855">
        <v>1325</v>
      </c>
      <c r="F290" s="859">
        <v>29.14</v>
      </c>
      <c r="G290" s="859">
        <f t="shared" si="56"/>
        <v>38610.5</v>
      </c>
      <c r="H290" s="859"/>
      <c r="I290" s="860">
        <v>41446</v>
      </c>
      <c r="J290" s="816">
        <v>27.45</v>
      </c>
      <c r="K290" s="821">
        <f t="shared" ref="K290:K295" si="58">SUM(E290*J290)</f>
        <v>36371.25</v>
      </c>
      <c r="L290" s="822">
        <f t="shared" ref="L290:L293" si="59">SUM(K290-G290)</f>
        <v>-2239.25</v>
      </c>
      <c r="M290" s="852">
        <v>1</v>
      </c>
      <c r="N290" s="824">
        <f t="shared" ref="N290:N295" si="60">SUM(L290*M290)</f>
        <v>-2239.25</v>
      </c>
    </row>
    <row r="291" spans="1:16" s="825" customFormat="1" ht="15" customHeight="1" x14ac:dyDescent="0.2">
      <c r="A291" s="862" t="s">
        <v>1233</v>
      </c>
      <c r="B291" s="834" t="s">
        <v>510</v>
      </c>
      <c r="C291" s="834" t="s">
        <v>53</v>
      </c>
      <c r="D291" s="860">
        <v>41442</v>
      </c>
      <c r="E291" s="855">
        <v>727</v>
      </c>
      <c r="F291" s="859">
        <v>118.44</v>
      </c>
      <c r="G291" s="859">
        <f t="shared" si="56"/>
        <v>86105.88</v>
      </c>
      <c r="H291" s="859"/>
      <c r="I291" s="860">
        <v>41446</v>
      </c>
      <c r="J291" s="816">
        <v>115.36</v>
      </c>
      <c r="K291" s="821">
        <f t="shared" si="58"/>
        <v>83866.720000000001</v>
      </c>
      <c r="L291" s="822">
        <f t="shared" si="59"/>
        <v>-2239.1600000000035</v>
      </c>
      <c r="M291" s="852">
        <v>1</v>
      </c>
      <c r="N291" s="824">
        <f t="shared" si="60"/>
        <v>-2239.1600000000035</v>
      </c>
    </row>
    <row r="292" spans="1:16" s="825" customFormat="1" ht="15" customHeight="1" x14ac:dyDescent="0.2">
      <c r="A292" s="862" t="s">
        <v>1234</v>
      </c>
      <c r="B292" s="834" t="s">
        <v>1235</v>
      </c>
      <c r="C292" s="834" t="s">
        <v>53</v>
      </c>
      <c r="D292" s="860">
        <v>41443</v>
      </c>
      <c r="E292" s="855">
        <v>1365</v>
      </c>
      <c r="F292" s="859">
        <v>46.42</v>
      </c>
      <c r="G292" s="859">
        <f t="shared" si="56"/>
        <v>63363.3</v>
      </c>
      <c r="H292" s="859"/>
      <c r="I292" s="860">
        <v>41449</v>
      </c>
      <c r="J292" s="816">
        <v>44.7</v>
      </c>
      <c r="K292" s="821">
        <f t="shared" si="58"/>
        <v>61015.500000000007</v>
      </c>
      <c r="L292" s="822">
        <f t="shared" si="59"/>
        <v>-2347.7999999999956</v>
      </c>
      <c r="M292" s="852">
        <v>1</v>
      </c>
      <c r="N292" s="869">
        <f t="shared" si="60"/>
        <v>-2347.7999999999956</v>
      </c>
    </row>
    <row r="293" spans="1:16" s="825" customFormat="1" ht="15" customHeight="1" x14ac:dyDescent="0.2">
      <c r="A293" s="862" t="s">
        <v>499</v>
      </c>
      <c r="B293" s="834" t="s">
        <v>500</v>
      </c>
      <c r="C293" s="834" t="s">
        <v>53</v>
      </c>
      <c r="D293" s="860">
        <v>41444</v>
      </c>
      <c r="E293" s="855">
        <v>330</v>
      </c>
      <c r="F293" s="859">
        <v>191.3</v>
      </c>
      <c r="G293" s="859">
        <f t="shared" si="56"/>
        <v>63129.000000000007</v>
      </c>
      <c r="H293" s="859"/>
      <c r="I293" s="860">
        <v>41446</v>
      </c>
      <c r="J293" s="816">
        <v>184.52</v>
      </c>
      <c r="K293" s="821">
        <f t="shared" si="58"/>
        <v>60891.600000000006</v>
      </c>
      <c r="L293" s="822">
        <f t="shared" si="59"/>
        <v>-2237.4000000000015</v>
      </c>
      <c r="M293" s="852">
        <v>1</v>
      </c>
      <c r="N293" s="869">
        <f t="shared" si="60"/>
        <v>-2237.4000000000015</v>
      </c>
    </row>
    <row r="294" spans="1:16" s="868" customFormat="1" ht="15" customHeight="1" x14ac:dyDescent="0.2">
      <c r="A294" s="867" t="s">
        <v>1240</v>
      </c>
      <c r="B294" s="863" t="s">
        <v>1241</v>
      </c>
      <c r="C294" s="863" t="s">
        <v>78</v>
      </c>
      <c r="D294" s="864">
        <v>41444</v>
      </c>
      <c r="E294" s="865">
        <v>1018</v>
      </c>
      <c r="F294" s="866">
        <v>39.9</v>
      </c>
      <c r="G294" s="859">
        <f t="shared" si="56"/>
        <v>40618.199999999997</v>
      </c>
      <c r="H294" s="866"/>
      <c r="I294" s="864">
        <v>41464</v>
      </c>
      <c r="J294" s="867">
        <v>42.1</v>
      </c>
      <c r="K294" s="851">
        <f t="shared" si="58"/>
        <v>42857.8</v>
      </c>
      <c r="L294" s="853">
        <f t="shared" ref="L294:L295" si="61">SUM(G294-K294)</f>
        <v>-2239.6000000000058</v>
      </c>
      <c r="M294" s="852">
        <v>1</v>
      </c>
      <c r="N294" s="870">
        <f t="shared" si="60"/>
        <v>-2239.6000000000058</v>
      </c>
    </row>
    <row r="295" spans="1:16" s="868" customFormat="1" ht="15" customHeight="1" x14ac:dyDescent="0.2">
      <c r="A295" s="867" t="s">
        <v>1236</v>
      </c>
      <c r="B295" s="863" t="s">
        <v>1237</v>
      </c>
      <c r="C295" s="863" t="s">
        <v>78</v>
      </c>
      <c r="D295" s="864">
        <v>41449</v>
      </c>
      <c r="E295" s="865">
        <v>700</v>
      </c>
      <c r="F295" s="866">
        <v>61.5</v>
      </c>
      <c r="G295" s="859">
        <f t="shared" si="56"/>
        <v>43050</v>
      </c>
      <c r="H295" s="866"/>
      <c r="I295" s="864">
        <v>41457</v>
      </c>
      <c r="J295" s="867">
        <v>64.7</v>
      </c>
      <c r="K295" s="851">
        <f t="shared" si="58"/>
        <v>45290</v>
      </c>
      <c r="L295" s="853">
        <f t="shared" si="61"/>
        <v>-2240</v>
      </c>
      <c r="M295" s="852">
        <v>1</v>
      </c>
      <c r="N295" s="870">
        <f t="shared" si="60"/>
        <v>-2240</v>
      </c>
    </row>
    <row r="296" spans="1:16" s="825" customFormat="1" ht="15" customHeight="1" x14ac:dyDescent="0.2">
      <c r="A296" s="862" t="s">
        <v>1246</v>
      </c>
      <c r="B296" s="834" t="s">
        <v>1247</v>
      </c>
      <c r="C296" s="834" t="s">
        <v>53</v>
      </c>
      <c r="D296" s="860">
        <v>41459</v>
      </c>
      <c r="E296" s="855">
        <v>524</v>
      </c>
      <c r="F296" s="859">
        <v>123.44</v>
      </c>
      <c r="G296" s="859">
        <f t="shared" si="56"/>
        <v>64682.559999999998</v>
      </c>
      <c r="H296" s="859"/>
      <c r="I296" s="860">
        <v>41484</v>
      </c>
      <c r="J296" s="816">
        <v>127.38</v>
      </c>
      <c r="K296" s="821">
        <f t="shared" ref="K296:K297" si="62">SUM(E296*J296)</f>
        <v>66747.12</v>
      </c>
      <c r="L296" s="822">
        <f t="shared" ref="L296:L297" si="63">SUM(K296-G296)</f>
        <v>2064.5599999999977</v>
      </c>
      <c r="M296" s="852">
        <v>1</v>
      </c>
      <c r="N296" s="869">
        <f t="shared" ref="N296:N297" si="64">SUM(L296*M296)</f>
        <v>2064.5599999999977</v>
      </c>
    </row>
    <row r="297" spans="1:16" s="845" customFormat="1" ht="15" customHeight="1" x14ac:dyDescent="0.2">
      <c r="A297" s="862" t="s">
        <v>1244</v>
      </c>
      <c r="B297" s="834" t="s">
        <v>1245</v>
      </c>
      <c r="C297" s="834" t="s">
        <v>53</v>
      </c>
      <c r="D297" s="860">
        <v>41470</v>
      </c>
      <c r="E297" s="855">
        <v>3111</v>
      </c>
      <c r="F297" s="859">
        <v>17.59</v>
      </c>
      <c r="G297" s="859">
        <f t="shared" si="56"/>
        <v>54722.49</v>
      </c>
      <c r="H297" s="859"/>
      <c r="I297" s="860">
        <v>41481</v>
      </c>
      <c r="J297" s="816">
        <v>16.96</v>
      </c>
      <c r="K297" s="821">
        <f t="shared" si="62"/>
        <v>52762.560000000005</v>
      </c>
      <c r="L297" s="822">
        <f t="shared" si="63"/>
        <v>-1959.929999999993</v>
      </c>
      <c r="M297" s="852">
        <v>1</v>
      </c>
      <c r="N297" s="869">
        <f t="shared" si="64"/>
        <v>-1959.929999999993</v>
      </c>
      <c r="O297" s="825"/>
      <c r="P297" s="825"/>
    </row>
    <row r="298" spans="1:16" s="874" customFormat="1" ht="15" customHeight="1" x14ac:dyDescent="0.25">
      <c r="A298" s="862" t="s">
        <v>1204</v>
      </c>
      <c r="B298" s="834" t="s">
        <v>1205</v>
      </c>
      <c r="C298" s="834" t="s">
        <v>53</v>
      </c>
      <c r="D298" s="860">
        <v>41478</v>
      </c>
      <c r="E298" s="871">
        <v>711</v>
      </c>
      <c r="F298" s="859">
        <v>98.82</v>
      </c>
      <c r="G298" s="818">
        <f t="shared" ref="G298:G305" si="65">SUM(E298*F298)</f>
        <v>70261.01999999999</v>
      </c>
      <c r="H298" s="859"/>
      <c r="I298" s="860">
        <v>41502</v>
      </c>
      <c r="J298" s="872">
        <v>100.45</v>
      </c>
      <c r="K298" s="821">
        <f t="shared" ref="K298:K305" si="66">SUM(E298*J298)</f>
        <v>71419.95</v>
      </c>
      <c r="L298" s="822">
        <f t="shared" ref="L298:L305" si="67">SUM(K298-G298)</f>
        <v>1158.9300000000076</v>
      </c>
      <c r="M298" s="852">
        <v>1</v>
      </c>
      <c r="N298" s="869">
        <f t="shared" ref="N298:N305" si="68">SUM(L298*M298)</f>
        <v>1158.9300000000076</v>
      </c>
      <c r="O298" s="873"/>
      <c r="P298" s="873"/>
    </row>
    <row r="299" spans="1:16" s="874" customFormat="1" ht="15" customHeight="1" x14ac:dyDescent="0.25">
      <c r="A299" s="862" t="s">
        <v>1215</v>
      </c>
      <c r="B299" s="834" t="s">
        <v>1216</v>
      </c>
      <c r="C299" s="834" t="s">
        <v>53</v>
      </c>
      <c r="D299" s="860">
        <v>41487</v>
      </c>
      <c r="E299" s="871">
        <v>120</v>
      </c>
      <c r="F299" s="859">
        <v>173.7</v>
      </c>
      <c r="G299" s="818">
        <f t="shared" si="65"/>
        <v>20844</v>
      </c>
      <c r="H299" s="859"/>
      <c r="I299" s="860">
        <v>41500</v>
      </c>
      <c r="J299" s="872">
        <v>170.6</v>
      </c>
      <c r="K299" s="821">
        <f t="shared" si="66"/>
        <v>20472</v>
      </c>
      <c r="L299" s="822">
        <f t="shared" si="67"/>
        <v>-372</v>
      </c>
      <c r="M299" s="852">
        <v>1</v>
      </c>
      <c r="N299" s="869">
        <f t="shared" si="68"/>
        <v>-372</v>
      </c>
      <c r="O299" s="873"/>
      <c r="P299" s="873"/>
    </row>
    <row r="300" spans="1:16" s="874" customFormat="1" ht="15" customHeight="1" x14ac:dyDescent="0.25">
      <c r="A300" s="862" t="s">
        <v>1217</v>
      </c>
      <c r="B300" s="834" t="s">
        <v>1218</v>
      </c>
      <c r="C300" s="834" t="s">
        <v>53</v>
      </c>
      <c r="D300" s="860">
        <v>41486</v>
      </c>
      <c r="E300" s="871">
        <v>987</v>
      </c>
      <c r="F300" s="859">
        <v>67.83</v>
      </c>
      <c r="G300" s="818">
        <f t="shared" si="65"/>
        <v>66948.209999999992</v>
      </c>
      <c r="H300" s="859"/>
      <c r="I300" s="860">
        <v>41501</v>
      </c>
      <c r="J300" s="872">
        <v>65.37</v>
      </c>
      <c r="K300" s="821">
        <f t="shared" si="66"/>
        <v>64520.19</v>
      </c>
      <c r="L300" s="822">
        <f t="shared" si="67"/>
        <v>-2428.0199999999895</v>
      </c>
      <c r="M300" s="852">
        <v>1</v>
      </c>
      <c r="N300" s="869">
        <f t="shared" si="68"/>
        <v>-2428.0199999999895</v>
      </c>
      <c r="O300" s="873"/>
      <c r="P300" s="873"/>
    </row>
    <row r="301" spans="1:16" s="874" customFormat="1" ht="15" customHeight="1" x14ac:dyDescent="0.25">
      <c r="A301" s="862" t="s">
        <v>1208</v>
      </c>
      <c r="B301" s="834" t="s">
        <v>1209</v>
      </c>
      <c r="C301" s="834" t="s">
        <v>53</v>
      </c>
      <c r="D301" s="860">
        <v>41478</v>
      </c>
      <c r="E301" s="871">
        <v>846</v>
      </c>
      <c r="F301" s="859">
        <v>92.59</v>
      </c>
      <c r="G301" s="818">
        <f t="shared" si="65"/>
        <v>78331.14</v>
      </c>
      <c r="H301" s="859"/>
      <c r="I301" s="860">
        <v>41505</v>
      </c>
      <c r="J301" s="872">
        <v>99.15</v>
      </c>
      <c r="K301" s="821">
        <f t="shared" si="66"/>
        <v>83880.900000000009</v>
      </c>
      <c r="L301" s="822">
        <f t="shared" si="67"/>
        <v>5549.7600000000093</v>
      </c>
      <c r="M301" s="852">
        <v>1</v>
      </c>
      <c r="N301" s="869">
        <f t="shared" si="68"/>
        <v>5549.7600000000093</v>
      </c>
      <c r="O301" s="873"/>
      <c r="P301" s="873"/>
    </row>
    <row r="302" spans="1:16" s="874" customFormat="1" ht="15" customHeight="1" x14ac:dyDescent="0.25">
      <c r="A302" s="862" t="s">
        <v>462</v>
      </c>
      <c r="B302" s="834" t="s">
        <v>463</v>
      </c>
      <c r="C302" s="834" t="s">
        <v>53</v>
      </c>
      <c r="D302" s="860">
        <v>41477</v>
      </c>
      <c r="E302" s="871">
        <v>987</v>
      </c>
      <c r="F302" s="859">
        <v>59.98</v>
      </c>
      <c r="G302" s="818">
        <f t="shared" si="65"/>
        <v>59200.259999999995</v>
      </c>
      <c r="H302" s="859"/>
      <c r="I302" s="860">
        <v>41513</v>
      </c>
      <c r="J302" s="872">
        <v>58.59</v>
      </c>
      <c r="K302" s="821">
        <f t="shared" si="66"/>
        <v>57828.33</v>
      </c>
      <c r="L302" s="822">
        <f t="shared" si="67"/>
        <v>-1371.929999999993</v>
      </c>
      <c r="M302" s="823">
        <v>1</v>
      </c>
      <c r="N302" s="869">
        <f t="shared" si="68"/>
        <v>-1371.929999999993</v>
      </c>
      <c r="O302" s="873" t="s">
        <v>897</v>
      </c>
      <c r="P302" s="825"/>
    </row>
    <row r="303" spans="1:16" s="874" customFormat="1" ht="15" customHeight="1" x14ac:dyDescent="0.25">
      <c r="A303" s="862" t="s">
        <v>1197</v>
      </c>
      <c r="B303" s="834" t="s">
        <v>1198</v>
      </c>
      <c r="C303" s="834" t="s">
        <v>53</v>
      </c>
      <c r="D303" s="860">
        <v>41463</v>
      </c>
      <c r="E303" s="871">
        <v>179</v>
      </c>
      <c r="F303" s="859">
        <v>291.47000000000003</v>
      </c>
      <c r="G303" s="818">
        <f t="shared" si="65"/>
        <v>52173.130000000005</v>
      </c>
      <c r="H303" s="859"/>
      <c r="I303" s="860">
        <v>41513</v>
      </c>
      <c r="J303" s="872">
        <v>282.69</v>
      </c>
      <c r="K303" s="821">
        <f t="shared" si="66"/>
        <v>50601.51</v>
      </c>
      <c r="L303" s="822">
        <f t="shared" si="67"/>
        <v>-1571.6200000000026</v>
      </c>
      <c r="M303" s="823">
        <v>1</v>
      </c>
      <c r="N303" s="869">
        <f t="shared" si="68"/>
        <v>-1571.6200000000026</v>
      </c>
      <c r="O303" s="873" t="s">
        <v>3</v>
      </c>
      <c r="P303" s="873"/>
    </row>
    <row r="304" spans="1:16" s="825" customFormat="1" ht="15" customHeight="1" x14ac:dyDescent="0.2">
      <c r="A304" s="862" t="s">
        <v>1310</v>
      </c>
      <c r="B304" s="814" t="s">
        <v>1309</v>
      </c>
      <c r="C304" s="814" t="s">
        <v>53</v>
      </c>
      <c r="D304" s="815">
        <v>41512</v>
      </c>
      <c r="E304" s="816">
        <v>492</v>
      </c>
      <c r="F304" s="817">
        <v>112.06</v>
      </c>
      <c r="G304" s="818">
        <f t="shared" si="65"/>
        <v>55133.520000000004</v>
      </c>
      <c r="H304" s="819"/>
      <c r="I304" s="860">
        <v>41516</v>
      </c>
      <c r="J304" s="817">
        <v>107.26</v>
      </c>
      <c r="K304" s="821">
        <f t="shared" si="66"/>
        <v>52771.920000000006</v>
      </c>
      <c r="L304" s="822">
        <f t="shared" si="67"/>
        <v>-2361.5999999999985</v>
      </c>
      <c r="M304" s="823">
        <v>1</v>
      </c>
      <c r="N304" s="869">
        <f t="shared" si="68"/>
        <v>-2361.5999999999985</v>
      </c>
    </row>
    <row r="305" spans="1:16" s="874" customFormat="1" ht="15" customHeight="1" x14ac:dyDescent="0.25">
      <c r="A305" s="862" t="s">
        <v>1210</v>
      </c>
      <c r="B305" s="834" t="s">
        <v>1211</v>
      </c>
      <c r="C305" s="834" t="s">
        <v>53</v>
      </c>
      <c r="D305" s="860">
        <v>41477</v>
      </c>
      <c r="E305" s="871">
        <v>3102</v>
      </c>
      <c r="F305" s="859">
        <v>19.16</v>
      </c>
      <c r="G305" s="818">
        <f t="shared" si="65"/>
        <v>59434.32</v>
      </c>
      <c r="H305" s="859"/>
      <c r="I305" s="860">
        <v>41514</v>
      </c>
      <c r="J305" s="872">
        <v>18.329999999999998</v>
      </c>
      <c r="K305" s="821">
        <f t="shared" si="66"/>
        <v>56859.659999999996</v>
      </c>
      <c r="L305" s="822">
        <f t="shared" si="67"/>
        <v>-2574.6600000000035</v>
      </c>
      <c r="M305" s="823">
        <v>1</v>
      </c>
      <c r="N305" s="869">
        <f t="shared" si="68"/>
        <v>-2574.6600000000035</v>
      </c>
      <c r="O305" s="873"/>
      <c r="P305" s="873"/>
    </row>
    <row r="306" spans="1:16" s="874" customFormat="1" ht="15" customHeight="1" x14ac:dyDescent="0.25">
      <c r="A306" s="862" t="s">
        <v>1212</v>
      </c>
      <c r="B306" s="834" t="s">
        <v>1213</v>
      </c>
      <c r="C306" s="834" t="s">
        <v>53</v>
      </c>
      <c r="D306" s="860">
        <v>41486</v>
      </c>
      <c r="E306" s="871">
        <v>1287</v>
      </c>
      <c r="F306" s="859">
        <v>40.89</v>
      </c>
      <c r="G306" s="818">
        <f t="shared" ref="G306" si="69">SUM(E306*F306)</f>
        <v>52625.43</v>
      </c>
      <c r="H306" s="859"/>
      <c r="I306" s="860">
        <v>41514</v>
      </c>
      <c r="J306" s="872">
        <v>39.01</v>
      </c>
      <c r="K306" s="821">
        <f t="shared" ref="K306" si="70">SUM(E306*J306)</f>
        <v>50205.869999999995</v>
      </c>
      <c r="L306" s="822">
        <f t="shared" ref="L306" si="71">SUM(K306-G306)</f>
        <v>-2419.5600000000049</v>
      </c>
      <c r="M306" s="823">
        <v>1</v>
      </c>
      <c r="N306" s="869">
        <f t="shared" ref="N306" si="72">SUM(L306*M306)</f>
        <v>-2419.5600000000049</v>
      </c>
      <c r="O306" s="873"/>
      <c r="P306" s="873"/>
    </row>
    <row r="307" spans="1:16" s="874" customFormat="1" ht="15" customHeight="1" x14ac:dyDescent="0.25">
      <c r="A307" s="862" t="s">
        <v>1191</v>
      </c>
      <c r="B307" s="834" t="s">
        <v>1192</v>
      </c>
      <c r="C307" s="834" t="s">
        <v>53</v>
      </c>
      <c r="D307" s="861">
        <v>41402</v>
      </c>
      <c r="E307" s="875">
        <v>1571</v>
      </c>
      <c r="F307" s="859">
        <v>48.18</v>
      </c>
      <c r="G307" s="818">
        <f t="shared" ref="G307:G312" si="73">SUM(E307*F307)</f>
        <v>75690.78</v>
      </c>
      <c r="H307" s="859"/>
      <c r="I307" s="860">
        <v>41513</v>
      </c>
      <c r="J307" s="821">
        <v>51.89</v>
      </c>
      <c r="K307" s="821">
        <f t="shared" ref="K307:K312" si="74">SUM(E307*J307)</f>
        <v>81519.19</v>
      </c>
      <c r="L307" s="822">
        <f>SUM(K307-G307)</f>
        <v>5828.4100000000035</v>
      </c>
      <c r="M307" s="823">
        <v>1</v>
      </c>
      <c r="N307" s="876">
        <f t="shared" ref="N307:N312" si="75">SUM(L307*M307)</f>
        <v>5828.4100000000035</v>
      </c>
      <c r="O307" s="873"/>
      <c r="P307" s="873"/>
    </row>
    <row r="308" spans="1:16" s="874" customFormat="1" ht="15" customHeight="1" x14ac:dyDescent="0.25">
      <c r="A308" s="862" t="s">
        <v>1214</v>
      </c>
      <c r="B308" s="834" t="s">
        <v>542</v>
      </c>
      <c r="C308" s="834" t="s">
        <v>53</v>
      </c>
      <c r="D308" s="860">
        <v>41487</v>
      </c>
      <c r="E308" s="871">
        <v>1890</v>
      </c>
      <c r="F308" s="859">
        <v>42.32</v>
      </c>
      <c r="G308" s="818">
        <f t="shared" si="73"/>
        <v>79984.800000000003</v>
      </c>
      <c r="H308" s="859"/>
      <c r="I308" s="860">
        <v>41514</v>
      </c>
      <c r="J308" s="872">
        <v>41.04</v>
      </c>
      <c r="K308" s="821">
        <f t="shared" si="74"/>
        <v>77565.599999999991</v>
      </c>
      <c r="L308" s="822">
        <f>SUM(K308-G308)</f>
        <v>-2419.2000000000116</v>
      </c>
      <c r="M308" s="823">
        <v>1</v>
      </c>
      <c r="N308" s="876">
        <f t="shared" si="75"/>
        <v>-2419.2000000000116</v>
      </c>
      <c r="O308" s="873"/>
      <c r="P308" s="873"/>
    </row>
    <row r="309" spans="1:16" s="825" customFormat="1" ht="15" customHeight="1" x14ac:dyDescent="0.2">
      <c r="A309" s="862" t="s">
        <v>586</v>
      </c>
      <c r="B309" s="814" t="s">
        <v>587</v>
      </c>
      <c r="C309" s="814" t="s">
        <v>53</v>
      </c>
      <c r="D309" s="815">
        <v>41513</v>
      </c>
      <c r="E309" s="816">
        <v>716</v>
      </c>
      <c r="F309" s="817">
        <v>82.9</v>
      </c>
      <c r="G309" s="818">
        <f t="shared" si="73"/>
        <v>59356.4</v>
      </c>
      <c r="H309" s="819"/>
      <c r="I309" s="860">
        <v>41514</v>
      </c>
      <c r="J309" s="817">
        <v>79.37</v>
      </c>
      <c r="K309" s="821">
        <f t="shared" si="74"/>
        <v>56828.920000000006</v>
      </c>
      <c r="L309" s="822">
        <f>SUM(K309-G309)</f>
        <v>-2527.4799999999959</v>
      </c>
      <c r="M309" s="823">
        <v>1</v>
      </c>
      <c r="N309" s="824">
        <f t="shared" si="75"/>
        <v>-2527.4799999999959</v>
      </c>
    </row>
    <row r="310" spans="1:16" s="845" customFormat="1" ht="15" customHeight="1" x14ac:dyDescent="0.2">
      <c r="A310" s="847" t="s">
        <v>1297</v>
      </c>
      <c r="B310" s="842" t="s">
        <v>1298</v>
      </c>
      <c r="C310" s="842" t="s">
        <v>78</v>
      </c>
      <c r="D310" s="846">
        <v>41507</v>
      </c>
      <c r="E310" s="847">
        <v>587</v>
      </c>
      <c r="F310" s="848">
        <v>114.13</v>
      </c>
      <c r="G310" s="849">
        <f t="shared" si="73"/>
        <v>66994.31</v>
      </c>
      <c r="H310" s="850"/>
      <c r="I310" s="857">
        <v>41535</v>
      </c>
      <c r="J310" s="848">
        <v>115.99</v>
      </c>
      <c r="K310" s="851">
        <f t="shared" si="74"/>
        <v>68086.12999999999</v>
      </c>
      <c r="L310" s="853">
        <f>SUM(G310-K310)</f>
        <v>-1091.8199999999924</v>
      </c>
      <c r="M310" s="823">
        <v>1</v>
      </c>
      <c r="N310" s="844">
        <f t="shared" si="75"/>
        <v>-1091.8199999999924</v>
      </c>
    </row>
    <row r="311" spans="1:16" s="874" customFormat="1" ht="15" customHeight="1" x14ac:dyDescent="0.25">
      <c r="A311" s="862" t="s">
        <v>1206</v>
      </c>
      <c r="B311" s="834" t="s">
        <v>1207</v>
      </c>
      <c r="C311" s="834" t="s">
        <v>53</v>
      </c>
      <c r="D311" s="860">
        <v>41480</v>
      </c>
      <c r="E311" s="871">
        <f>620*2</f>
        <v>1240</v>
      </c>
      <c r="F311" s="859">
        <f>76.18/2</f>
        <v>38.090000000000003</v>
      </c>
      <c r="G311" s="818">
        <f t="shared" si="73"/>
        <v>47231.600000000006</v>
      </c>
      <c r="H311" s="859"/>
      <c r="I311" s="857">
        <v>41542</v>
      </c>
      <c r="J311" s="872">
        <v>36.14</v>
      </c>
      <c r="K311" s="821">
        <f t="shared" si="74"/>
        <v>44813.599999999999</v>
      </c>
      <c r="L311" s="822">
        <f t="shared" ref="L311:L317" si="76">SUM(K311-G311)</f>
        <v>-2418.0000000000073</v>
      </c>
      <c r="M311" s="823">
        <v>1</v>
      </c>
      <c r="N311" s="824">
        <f t="shared" si="75"/>
        <v>-2418.0000000000073</v>
      </c>
      <c r="O311" s="873" t="s">
        <v>3</v>
      </c>
      <c r="P311" s="873"/>
    </row>
    <row r="312" spans="1:16" s="825" customFormat="1" ht="15" customHeight="1" x14ac:dyDescent="0.2">
      <c r="A312" s="862" t="s">
        <v>1345</v>
      </c>
      <c r="B312" s="814" t="s">
        <v>532</v>
      </c>
      <c r="C312" s="814" t="s">
        <v>53</v>
      </c>
      <c r="D312" s="815">
        <v>41527</v>
      </c>
      <c r="E312" s="816">
        <v>838</v>
      </c>
      <c r="F312" s="817">
        <v>70.099999999999994</v>
      </c>
      <c r="G312" s="818">
        <f t="shared" si="73"/>
        <v>58743.799999999996</v>
      </c>
      <c r="H312" s="819"/>
      <c r="I312" s="857">
        <v>41544</v>
      </c>
      <c r="J312" s="817">
        <v>67.45</v>
      </c>
      <c r="K312" s="821">
        <f t="shared" si="74"/>
        <v>56523.100000000006</v>
      </c>
      <c r="L312" s="822">
        <f t="shared" si="76"/>
        <v>-2220.6999999999898</v>
      </c>
      <c r="M312" s="823">
        <v>1</v>
      </c>
      <c r="N312" s="824">
        <f t="shared" si="75"/>
        <v>-2220.6999999999898</v>
      </c>
    </row>
    <row r="313" spans="1:16" s="874" customFormat="1" ht="15" customHeight="1" x14ac:dyDescent="0.25">
      <c r="A313" s="862" t="s">
        <v>1142</v>
      </c>
      <c r="B313" s="834" t="s">
        <v>1141</v>
      </c>
      <c r="C313" s="834" t="s">
        <v>53</v>
      </c>
      <c r="D313" s="860">
        <v>41471</v>
      </c>
      <c r="E313" s="871">
        <v>596</v>
      </c>
      <c r="F313" s="859">
        <v>57.37</v>
      </c>
      <c r="G313" s="818">
        <f>SUM(E313*F313)</f>
        <v>34192.519999999997</v>
      </c>
      <c r="H313" s="859"/>
      <c r="I313" s="857">
        <v>41548</v>
      </c>
      <c r="J313" s="872">
        <v>55.01</v>
      </c>
      <c r="K313" s="821">
        <f>SUM(E313*J313)</f>
        <v>32785.96</v>
      </c>
      <c r="L313" s="822">
        <f t="shared" si="76"/>
        <v>-1406.5599999999977</v>
      </c>
      <c r="M313" s="823">
        <v>1</v>
      </c>
      <c r="N313" s="824">
        <f>SUM(L313*M313)</f>
        <v>-1406.5599999999977</v>
      </c>
      <c r="O313" s="873"/>
      <c r="P313" s="873"/>
    </row>
    <row r="314" spans="1:16" s="825" customFormat="1" ht="15" customHeight="1" x14ac:dyDescent="0.2">
      <c r="A314" s="862" t="s">
        <v>479</v>
      </c>
      <c r="B314" s="814" t="s">
        <v>480</v>
      </c>
      <c r="C314" s="814" t="s">
        <v>53</v>
      </c>
      <c r="D314" s="815">
        <v>41529</v>
      </c>
      <c r="E314" s="816">
        <v>521</v>
      </c>
      <c r="F314" s="817">
        <v>94.92</v>
      </c>
      <c r="G314" s="818">
        <f>SUM(E314*F314)</f>
        <v>49453.32</v>
      </c>
      <c r="H314" s="819"/>
      <c r="I314" s="857">
        <v>41547</v>
      </c>
      <c r="J314" s="817">
        <v>93.27</v>
      </c>
      <c r="K314" s="821">
        <f>SUM(E314*J314)</f>
        <v>48593.67</v>
      </c>
      <c r="L314" s="822">
        <f t="shared" si="76"/>
        <v>-859.65000000000146</v>
      </c>
      <c r="M314" s="823">
        <v>1</v>
      </c>
      <c r="N314" s="824">
        <f>SUM(L314*M314)</f>
        <v>-859.65000000000146</v>
      </c>
    </row>
    <row r="315" spans="1:16" s="825" customFormat="1" ht="15" customHeight="1" x14ac:dyDescent="0.2">
      <c r="A315" s="862" t="s">
        <v>1344</v>
      </c>
      <c r="B315" s="814" t="s">
        <v>613</v>
      </c>
      <c r="C315" s="814" t="s">
        <v>53</v>
      </c>
      <c r="D315" s="815">
        <v>41527</v>
      </c>
      <c r="E315" s="816">
        <v>1262</v>
      </c>
      <c r="F315" s="817">
        <v>42.35</v>
      </c>
      <c r="G315" s="818">
        <f>SUM(E315*F315)</f>
        <v>53445.700000000004</v>
      </c>
      <c r="H315" s="819"/>
      <c r="I315" s="857">
        <v>41554</v>
      </c>
      <c r="J315" s="817">
        <v>40.65</v>
      </c>
      <c r="K315" s="821">
        <f>SUM(E315*J315)</f>
        <v>51300.299999999996</v>
      </c>
      <c r="L315" s="822">
        <f t="shared" si="76"/>
        <v>-2145.4000000000087</v>
      </c>
      <c r="M315" s="823">
        <v>1</v>
      </c>
      <c r="N315" s="824">
        <f>SUM(L315*M315)</f>
        <v>-2145.4000000000087</v>
      </c>
    </row>
    <row r="316" spans="1:16" s="825" customFormat="1" ht="15" customHeight="1" x14ac:dyDescent="0.2">
      <c r="A316" s="862" t="s">
        <v>1362</v>
      </c>
      <c r="B316" s="814" t="s">
        <v>1365</v>
      </c>
      <c r="C316" s="814" t="s">
        <v>53</v>
      </c>
      <c r="D316" s="815">
        <v>41534</v>
      </c>
      <c r="E316" s="816">
        <v>280</v>
      </c>
      <c r="F316" s="817">
        <v>142.44999999999999</v>
      </c>
      <c r="G316" s="818">
        <f>SUM(E316*F316)</f>
        <v>39886</v>
      </c>
      <c r="H316" s="819"/>
      <c r="I316" s="857">
        <v>41555</v>
      </c>
      <c r="J316" s="817">
        <v>134.21</v>
      </c>
      <c r="K316" s="821">
        <f>SUM(E316*J316)</f>
        <v>37578.800000000003</v>
      </c>
      <c r="L316" s="822">
        <f t="shared" si="76"/>
        <v>-2307.1999999999971</v>
      </c>
      <c r="M316" s="823">
        <v>1</v>
      </c>
      <c r="N316" s="824">
        <f>SUM(L316*M316)</f>
        <v>-2307.1999999999971</v>
      </c>
    </row>
    <row r="317" spans="1:16" s="825" customFormat="1" ht="15" customHeight="1" x14ac:dyDescent="0.2">
      <c r="A317" s="862" t="s">
        <v>1389</v>
      </c>
      <c r="B317" s="814" t="s">
        <v>1388</v>
      </c>
      <c r="C317" s="814" t="s">
        <v>53</v>
      </c>
      <c r="D317" s="815">
        <v>41548</v>
      </c>
      <c r="E317" s="816">
        <v>630</v>
      </c>
      <c r="F317" s="817">
        <v>108.48</v>
      </c>
      <c r="G317" s="818">
        <f>SUM(E317*F317)</f>
        <v>68342.400000000009</v>
      </c>
      <c r="H317" s="819"/>
      <c r="I317" s="857">
        <v>41556</v>
      </c>
      <c r="J317" s="817">
        <v>104.78</v>
      </c>
      <c r="K317" s="821">
        <f>SUM(E317*J317)</f>
        <v>66011.399999999994</v>
      </c>
      <c r="L317" s="822">
        <f t="shared" si="76"/>
        <v>-2331.0000000000146</v>
      </c>
      <c r="M317" s="823">
        <v>1</v>
      </c>
      <c r="N317" s="824">
        <f>SUM(L317*M317)</f>
        <v>-2331.0000000000146</v>
      </c>
    </row>
    <row r="318" spans="1:16" s="874" customFormat="1" ht="15" customHeight="1" x14ac:dyDescent="0.25">
      <c r="A318" s="862" t="s">
        <v>1201</v>
      </c>
      <c r="B318" s="834" t="s">
        <v>1202</v>
      </c>
      <c r="C318" s="834" t="s">
        <v>53</v>
      </c>
      <c r="D318" s="860">
        <v>41470</v>
      </c>
      <c r="E318" s="871">
        <v>1407</v>
      </c>
      <c r="F318" s="859">
        <v>40.06</v>
      </c>
      <c r="G318" s="818">
        <f t="shared" ref="G318" si="77">SUM(E318*F318)</f>
        <v>56364.420000000006</v>
      </c>
      <c r="H318" s="859"/>
      <c r="I318" s="857">
        <v>41556</v>
      </c>
      <c r="J318" s="872">
        <v>41.24</v>
      </c>
      <c r="K318" s="821">
        <f t="shared" ref="K318" si="78">SUM(E318*J318)</f>
        <v>58024.68</v>
      </c>
      <c r="L318" s="822">
        <f t="shared" ref="L318" si="79">SUM(K318-G318)</f>
        <v>1660.2599999999948</v>
      </c>
      <c r="M318" s="823">
        <v>1</v>
      </c>
      <c r="N318" s="824">
        <f t="shared" ref="N318" si="80">SUM(L318*M318)</f>
        <v>1660.2599999999948</v>
      </c>
      <c r="O318" s="873"/>
      <c r="P318" s="873"/>
    </row>
    <row r="319" spans="1:16" s="845" customFormat="1" ht="15" customHeight="1" x14ac:dyDescent="0.2">
      <c r="A319" s="847" t="s">
        <v>1390</v>
      </c>
      <c r="B319" s="842" t="s">
        <v>1391</v>
      </c>
      <c r="C319" s="842" t="s">
        <v>78</v>
      </c>
      <c r="D319" s="846">
        <v>41550</v>
      </c>
      <c r="E319" s="847">
        <v>1792</v>
      </c>
      <c r="F319" s="848">
        <v>31.2</v>
      </c>
      <c r="G319" s="849">
        <f t="shared" ref="G319:G324" si="81">SUM(E319*F319)</f>
        <v>55910.400000000001</v>
      </c>
      <c r="H319" s="850"/>
      <c r="I319" s="857">
        <v>41557</v>
      </c>
      <c r="J319" s="848">
        <v>32.5</v>
      </c>
      <c r="K319" s="851">
        <f t="shared" ref="K319:K324" si="82">SUM(E319*J319)</f>
        <v>58240</v>
      </c>
      <c r="L319" s="853">
        <f>SUM(G319-K319)</f>
        <v>-2329.5999999999985</v>
      </c>
      <c r="M319" s="852">
        <v>1</v>
      </c>
      <c r="N319" s="844">
        <f t="shared" ref="N319:N324" si="83">SUM(L319*M319)</f>
        <v>-2329.5999999999985</v>
      </c>
    </row>
    <row r="320" spans="1:16" s="825" customFormat="1" ht="15" customHeight="1" x14ac:dyDescent="0.2">
      <c r="A320" s="862" t="s">
        <v>1407</v>
      </c>
      <c r="B320" s="814" t="s">
        <v>1408</v>
      </c>
      <c r="C320" s="814" t="s">
        <v>53</v>
      </c>
      <c r="D320" s="815">
        <v>41563</v>
      </c>
      <c r="E320" s="816">
        <v>2048</v>
      </c>
      <c r="F320" s="817">
        <v>71.900000000000006</v>
      </c>
      <c r="G320" s="818">
        <f t="shared" si="81"/>
        <v>147251.20000000001</v>
      </c>
      <c r="H320" s="819"/>
      <c r="I320" s="857">
        <v>41572</v>
      </c>
      <c r="J320" s="817">
        <v>70.62</v>
      </c>
      <c r="K320" s="821">
        <f t="shared" si="82"/>
        <v>144629.76000000001</v>
      </c>
      <c r="L320" s="822">
        <f>SUM(K320-G320)</f>
        <v>-2621.4400000000023</v>
      </c>
      <c r="M320" s="823">
        <v>1</v>
      </c>
      <c r="N320" s="824">
        <f t="shared" si="83"/>
        <v>-2621.4400000000023</v>
      </c>
    </row>
    <row r="321" spans="1:16" s="825" customFormat="1" ht="15" customHeight="1" x14ac:dyDescent="0.2">
      <c r="A321" s="862" t="s">
        <v>1415</v>
      </c>
      <c r="B321" s="814" t="s">
        <v>1414</v>
      </c>
      <c r="C321" s="814" t="s">
        <v>53</v>
      </c>
      <c r="D321" s="815">
        <v>41563</v>
      </c>
      <c r="E321" s="816">
        <v>595</v>
      </c>
      <c r="F321" s="817">
        <v>131.9</v>
      </c>
      <c r="G321" s="818">
        <f t="shared" si="81"/>
        <v>78480.5</v>
      </c>
      <c r="H321" s="819"/>
      <c r="I321" s="857">
        <v>41571</v>
      </c>
      <c r="J321" s="817">
        <v>125.8</v>
      </c>
      <c r="K321" s="821">
        <f t="shared" si="82"/>
        <v>74851</v>
      </c>
      <c r="L321" s="822">
        <f>SUM(K321-G321)</f>
        <v>-3629.5</v>
      </c>
      <c r="M321" s="823">
        <v>1</v>
      </c>
      <c r="N321" s="824">
        <f t="shared" si="83"/>
        <v>-3629.5</v>
      </c>
    </row>
    <row r="322" spans="1:16" s="825" customFormat="1" ht="15" customHeight="1" x14ac:dyDescent="0.2">
      <c r="A322" s="862" t="s">
        <v>1411</v>
      </c>
      <c r="B322" s="814" t="s">
        <v>617</v>
      </c>
      <c r="C322" s="814" t="s">
        <v>53</v>
      </c>
      <c r="D322" s="815">
        <v>41565</v>
      </c>
      <c r="E322" s="816">
        <v>857</v>
      </c>
      <c r="F322" s="817">
        <v>81.88</v>
      </c>
      <c r="G322" s="818">
        <f t="shared" si="81"/>
        <v>70171.159999999989</v>
      </c>
      <c r="H322" s="819"/>
      <c r="I322" s="857">
        <v>41570</v>
      </c>
      <c r="J322" s="817">
        <v>78.86</v>
      </c>
      <c r="K322" s="821">
        <f t="shared" si="82"/>
        <v>67583.02</v>
      </c>
      <c r="L322" s="822">
        <f>SUM(K322-G322)</f>
        <v>-2588.1399999999849</v>
      </c>
      <c r="M322" s="823">
        <v>1</v>
      </c>
      <c r="N322" s="824">
        <f t="shared" si="83"/>
        <v>-2588.1399999999849</v>
      </c>
    </row>
    <row r="323" spans="1:16" s="874" customFormat="1" ht="15" customHeight="1" x14ac:dyDescent="0.25">
      <c r="A323" s="862" t="s">
        <v>1203</v>
      </c>
      <c r="B323" s="834" t="s">
        <v>647</v>
      </c>
      <c r="C323" s="834" t="s">
        <v>53</v>
      </c>
      <c r="D323" s="860">
        <v>41478</v>
      </c>
      <c r="E323" s="855">
        <v>906</v>
      </c>
      <c r="F323" s="859">
        <v>47.63</v>
      </c>
      <c r="G323" s="818">
        <f t="shared" si="81"/>
        <v>43152.78</v>
      </c>
      <c r="H323" s="859"/>
      <c r="I323" s="857">
        <v>41579</v>
      </c>
      <c r="J323" s="872">
        <v>48.67</v>
      </c>
      <c r="K323" s="821">
        <f t="shared" si="82"/>
        <v>44095.020000000004</v>
      </c>
      <c r="L323" s="822">
        <f>SUM(K323-G323)</f>
        <v>942.24000000000524</v>
      </c>
      <c r="M323" s="823">
        <v>1</v>
      </c>
      <c r="N323" s="824">
        <f t="shared" si="83"/>
        <v>942.24000000000524</v>
      </c>
      <c r="O323" s="873"/>
      <c r="P323" s="873"/>
    </row>
    <row r="324" spans="1:16" s="825" customFormat="1" ht="15" customHeight="1" x14ac:dyDescent="0.2">
      <c r="A324" s="862" t="s">
        <v>1461</v>
      </c>
      <c r="B324" s="814" t="s">
        <v>1462</v>
      </c>
      <c r="C324" s="814" t="s">
        <v>53</v>
      </c>
      <c r="D324" s="815">
        <v>41578</v>
      </c>
      <c r="E324" s="816">
        <v>1030</v>
      </c>
      <c r="F324" s="817">
        <v>74.02</v>
      </c>
      <c r="G324" s="818">
        <f t="shared" si="81"/>
        <v>76240.599999999991</v>
      </c>
      <c r="H324" s="819"/>
      <c r="I324" s="857">
        <v>41578</v>
      </c>
      <c r="J324" s="817">
        <v>71.38</v>
      </c>
      <c r="K324" s="821">
        <f t="shared" si="82"/>
        <v>73521.399999999994</v>
      </c>
      <c r="L324" s="822">
        <f>SUM(K324-G324)</f>
        <v>-2719.1999999999971</v>
      </c>
      <c r="M324" s="823">
        <v>1</v>
      </c>
      <c r="N324" s="824">
        <f t="shared" si="83"/>
        <v>-2719.1999999999971</v>
      </c>
    </row>
    <row r="325" spans="1:16" s="825" customFormat="1" ht="15" customHeight="1" x14ac:dyDescent="0.2">
      <c r="A325" s="862" t="s">
        <v>1400</v>
      </c>
      <c r="B325" s="814" t="s">
        <v>1401</v>
      </c>
      <c r="C325" s="814" t="s">
        <v>53</v>
      </c>
      <c r="D325" s="815">
        <v>41563</v>
      </c>
      <c r="E325" s="816">
        <v>671</v>
      </c>
      <c r="F325" s="817">
        <v>76.849999999999994</v>
      </c>
      <c r="G325" s="818">
        <f t="shared" ref="G325" si="84">SUM(E325*F325)</f>
        <v>51566.35</v>
      </c>
      <c r="H325" s="819"/>
      <c r="I325" s="857">
        <v>41575</v>
      </c>
      <c r="J325" s="817">
        <v>71.930000000000007</v>
      </c>
      <c r="K325" s="821">
        <f t="shared" ref="K325" si="85">SUM(E325*J325)</f>
        <v>48265.030000000006</v>
      </c>
      <c r="L325" s="822">
        <f t="shared" ref="L325" si="86">SUM(K325-G325)</f>
        <v>-3301.3199999999924</v>
      </c>
      <c r="M325" s="823">
        <v>1</v>
      </c>
      <c r="N325" s="824">
        <f t="shared" ref="N325" si="87">SUM(L325*M325)</f>
        <v>-3301.3199999999924</v>
      </c>
    </row>
    <row r="326" spans="1:16" s="825" customFormat="1" ht="15" customHeight="1" x14ac:dyDescent="0.2">
      <c r="A326" s="862" t="s">
        <v>1445</v>
      </c>
      <c r="B326" s="814" t="s">
        <v>1446</v>
      </c>
      <c r="C326" s="814" t="s">
        <v>53</v>
      </c>
      <c r="D326" s="815">
        <v>41568</v>
      </c>
      <c r="E326" s="816">
        <v>2765</v>
      </c>
      <c r="F326" s="817">
        <v>15.98</v>
      </c>
      <c r="G326" s="818">
        <f t="shared" ref="G326:G332" si="88">SUM(E326*F326)</f>
        <v>44184.700000000004</v>
      </c>
      <c r="H326" s="819"/>
      <c r="I326" s="857">
        <v>41579</v>
      </c>
      <c r="J326" s="817">
        <v>14.98</v>
      </c>
      <c r="K326" s="821">
        <f t="shared" ref="K326:K332" si="89">SUM(E326*J326)</f>
        <v>41419.700000000004</v>
      </c>
      <c r="L326" s="822">
        <f t="shared" ref="L326:L332" si="90">SUM(K326-G326)</f>
        <v>-2765</v>
      </c>
      <c r="M326" s="823">
        <v>1</v>
      </c>
      <c r="N326" s="824">
        <f t="shared" ref="N326:N332" si="91">SUM(L326*M326)</f>
        <v>-2765</v>
      </c>
    </row>
    <row r="327" spans="1:16" s="825" customFormat="1" ht="15" customHeight="1" x14ac:dyDescent="0.2">
      <c r="A327" s="862" t="s">
        <v>1453</v>
      </c>
      <c r="B327" s="814" t="s">
        <v>1228</v>
      </c>
      <c r="C327" s="814" t="s">
        <v>53</v>
      </c>
      <c r="D327" s="815">
        <v>41571</v>
      </c>
      <c r="E327" s="816">
        <v>2160</v>
      </c>
      <c r="F327" s="817">
        <v>36.590000000000003</v>
      </c>
      <c r="G327" s="818">
        <f t="shared" si="88"/>
        <v>79034.400000000009</v>
      </c>
      <c r="H327" s="819"/>
      <c r="I327" s="857">
        <v>41583</v>
      </c>
      <c r="J327" s="817">
        <v>35.31</v>
      </c>
      <c r="K327" s="821">
        <f t="shared" si="89"/>
        <v>76269.600000000006</v>
      </c>
      <c r="L327" s="822">
        <f t="shared" si="90"/>
        <v>-2764.8000000000029</v>
      </c>
      <c r="M327" s="823">
        <v>1</v>
      </c>
      <c r="N327" s="824">
        <f t="shared" si="91"/>
        <v>-2764.8000000000029</v>
      </c>
    </row>
    <row r="328" spans="1:16" s="825" customFormat="1" ht="15" customHeight="1" x14ac:dyDescent="0.2">
      <c r="A328" s="862" t="s">
        <v>1418</v>
      </c>
      <c r="B328" s="814" t="s">
        <v>1419</v>
      </c>
      <c r="C328" s="814" t="s">
        <v>53</v>
      </c>
      <c r="D328" s="815">
        <v>41562</v>
      </c>
      <c r="E328" s="816">
        <v>1328</v>
      </c>
      <c r="F328" s="817">
        <v>40.92</v>
      </c>
      <c r="G328" s="818">
        <f t="shared" si="88"/>
        <v>54341.760000000002</v>
      </c>
      <c r="H328" s="819"/>
      <c r="I328" s="857">
        <v>41584</v>
      </c>
      <c r="J328" s="817">
        <v>38.19</v>
      </c>
      <c r="K328" s="821">
        <f t="shared" si="89"/>
        <v>50716.32</v>
      </c>
      <c r="L328" s="822">
        <f t="shared" si="90"/>
        <v>-3625.4400000000023</v>
      </c>
      <c r="M328" s="823">
        <v>1</v>
      </c>
      <c r="N328" s="824">
        <f t="shared" si="91"/>
        <v>-3625.4400000000023</v>
      </c>
    </row>
    <row r="329" spans="1:16" s="825" customFormat="1" ht="15" customHeight="1" x14ac:dyDescent="0.2">
      <c r="A329" s="862" t="s">
        <v>1451</v>
      </c>
      <c r="B329" s="814" t="s">
        <v>1452</v>
      </c>
      <c r="C329" s="814" t="s">
        <v>53</v>
      </c>
      <c r="D329" s="815">
        <v>41569</v>
      </c>
      <c r="E329" s="816">
        <v>2765</v>
      </c>
      <c r="F329" s="817">
        <v>26.01</v>
      </c>
      <c r="G329" s="818">
        <f t="shared" si="88"/>
        <v>71917.650000000009</v>
      </c>
      <c r="H329" s="819"/>
      <c r="I329" s="857">
        <v>41585</v>
      </c>
      <c r="J329" s="817">
        <v>25.01</v>
      </c>
      <c r="K329" s="821">
        <f t="shared" si="89"/>
        <v>69152.650000000009</v>
      </c>
      <c r="L329" s="822">
        <f t="shared" si="90"/>
        <v>-2765</v>
      </c>
      <c r="M329" s="823">
        <v>1</v>
      </c>
      <c r="N329" s="824">
        <f t="shared" si="91"/>
        <v>-2765</v>
      </c>
    </row>
    <row r="330" spans="1:16" s="825" customFormat="1" ht="15" customHeight="1" x14ac:dyDescent="0.2">
      <c r="A330" s="862" t="s">
        <v>1390</v>
      </c>
      <c r="B330" s="814" t="s">
        <v>1391</v>
      </c>
      <c r="C330" s="814" t="s">
        <v>53</v>
      </c>
      <c r="D330" s="815">
        <v>41576</v>
      </c>
      <c r="E330" s="816">
        <v>1063</v>
      </c>
      <c r="F330" s="817">
        <v>34.67</v>
      </c>
      <c r="G330" s="818">
        <f t="shared" si="88"/>
        <v>36854.21</v>
      </c>
      <c r="H330" s="819"/>
      <c r="I330" s="857">
        <v>41585</v>
      </c>
      <c r="J330" s="817">
        <v>32.78</v>
      </c>
      <c r="K330" s="821">
        <f t="shared" si="89"/>
        <v>34845.14</v>
      </c>
      <c r="L330" s="822">
        <f t="shared" si="90"/>
        <v>-2009.0699999999997</v>
      </c>
      <c r="M330" s="823">
        <v>1</v>
      </c>
      <c r="N330" s="824">
        <f t="shared" si="91"/>
        <v>-2009.0699999999997</v>
      </c>
    </row>
    <row r="331" spans="1:16" s="825" customFormat="1" ht="15" customHeight="1" x14ac:dyDescent="0.2">
      <c r="A331" s="862" t="s">
        <v>1312</v>
      </c>
      <c r="B331" s="814" t="s">
        <v>1311</v>
      </c>
      <c r="C331" s="814" t="s">
        <v>53</v>
      </c>
      <c r="D331" s="815">
        <v>41512</v>
      </c>
      <c r="E331" s="816">
        <v>326</v>
      </c>
      <c r="F331" s="817">
        <v>144.63</v>
      </c>
      <c r="G331" s="818">
        <f t="shared" si="88"/>
        <v>47149.38</v>
      </c>
      <c r="H331" s="819"/>
      <c r="I331" s="857">
        <v>41597</v>
      </c>
      <c r="J331" s="817">
        <v>159</v>
      </c>
      <c r="K331" s="821">
        <f t="shared" si="89"/>
        <v>51834</v>
      </c>
      <c r="L331" s="822">
        <f t="shared" si="90"/>
        <v>4684.6200000000026</v>
      </c>
      <c r="M331" s="823">
        <v>1</v>
      </c>
      <c r="N331" s="824">
        <f t="shared" si="91"/>
        <v>4684.6200000000026</v>
      </c>
    </row>
    <row r="332" spans="1:16" s="825" customFormat="1" ht="15" customHeight="1" x14ac:dyDescent="0.2">
      <c r="A332" s="862" t="s">
        <v>1359</v>
      </c>
      <c r="B332" s="814" t="s">
        <v>1368</v>
      </c>
      <c r="C332" s="814" t="s">
        <v>53</v>
      </c>
      <c r="D332" s="815">
        <v>41533</v>
      </c>
      <c r="E332" s="816">
        <v>924</v>
      </c>
      <c r="F332" s="817">
        <v>56.27</v>
      </c>
      <c r="G332" s="818">
        <f t="shared" si="88"/>
        <v>51993.48</v>
      </c>
      <c r="H332" s="819"/>
      <c r="I332" s="857">
        <v>41599</v>
      </c>
      <c r="J332" s="817">
        <v>56.82</v>
      </c>
      <c r="K332" s="821">
        <f t="shared" si="89"/>
        <v>52501.68</v>
      </c>
      <c r="L332" s="822">
        <f t="shared" si="90"/>
        <v>508.19999999999709</v>
      </c>
      <c r="M332" s="823">
        <v>1</v>
      </c>
      <c r="N332" s="824">
        <f t="shared" si="91"/>
        <v>508.19999999999709</v>
      </c>
    </row>
    <row r="333" spans="1:16" s="825" customFormat="1" ht="15" customHeight="1" x14ac:dyDescent="0.2">
      <c r="A333" s="862"/>
      <c r="B333" s="814"/>
      <c r="C333" s="814"/>
      <c r="D333" s="815"/>
      <c r="E333" s="816"/>
      <c r="F333" s="817"/>
      <c r="G333" s="818"/>
      <c r="H333" s="819"/>
      <c r="I333" s="857"/>
      <c r="J333" s="817"/>
      <c r="K333" s="821"/>
      <c r="L333" s="822"/>
      <c r="M333" s="823"/>
      <c r="N333" s="824"/>
    </row>
    <row r="334" spans="1:16" s="825" customFormat="1" ht="15" customHeight="1" x14ac:dyDescent="0.2">
      <c r="A334" s="862"/>
      <c r="B334" s="814"/>
      <c r="C334" s="814"/>
      <c r="D334" s="815"/>
      <c r="E334" s="816"/>
      <c r="F334" s="817"/>
      <c r="G334" s="818"/>
      <c r="H334" s="819"/>
      <c r="I334" s="857"/>
      <c r="J334" s="817"/>
      <c r="K334" s="821"/>
      <c r="L334" s="822"/>
      <c r="M334" s="823"/>
      <c r="N334" s="824"/>
    </row>
    <row r="335" spans="1:16" s="825" customFormat="1" ht="15" customHeight="1" x14ac:dyDescent="0.2">
      <c r="A335" s="862"/>
      <c r="B335" s="814"/>
      <c r="C335" s="814"/>
      <c r="D335" s="815"/>
      <c r="E335" s="816"/>
      <c r="F335" s="817"/>
      <c r="G335" s="818"/>
      <c r="H335" s="819"/>
      <c r="I335" s="857"/>
      <c r="J335" s="817"/>
      <c r="K335" s="821"/>
      <c r="L335" s="822"/>
      <c r="M335" s="823"/>
      <c r="N335" s="824"/>
    </row>
    <row r="336" spans="1:16" s="825" customFormat="1" ht="15" customHeight="1" x14ac:dyDescent="0.2">
      <c r="A336" s="862"/>
      <c r="B336" s="814"/>
      <c r="C336" s="814"/>
      <c r="D336" s="815"/>
      <c r="E336" s="816"/>
      <c r="F336" s="817"/>
      <c r="G336" s="818"/>
      <c r="H336" s="819"/>
      <c r="I336" s="857"/>
      <c r="J336" s="817"/>
      <c r="K336" s="821"/>
      <c r="L336" s="822"/>
      <c r="M336" s="823"/>
      <c r="N336" s="824"/>
    </row>
    <row r="337" spans="1:16" s="825" customFormat="1" ht="15" customHeight="1" x14ac:dyDescent="0.2">
      <c r="A337" s="862"/>
      <c r="B337" s="814"/>
      <c r="C337" s="814"/>
      <c r="D337" s="815"/>
      <c r="E337" s="816"/>
      <c r="F337" s="817"/>
      <c r="G337" s="818"/>
      <c r="H337" s="819"/>
      <c r="I337" s="857"/>
      <c r="J337" s="817"/>
      <c r="K337" s="821"/>
      <c r="L337" s="822"/>
      <c r="M337" s="823"/>
      <c r="N337" s="824"/>
    </row>
    <row r="338" spans="1:16" s="825" customFormat="1" ht="15" customHeight="1" x14ac:dyDescent="0.2">
      <c r="A338" s="862"/>
      <c r="B338" s="814"/>
      <c r="C338" s="814"/>
      <c r="D338" s="815"/>
      <c r="E338" s="816"/>
      <c r="F338" s="817"/>
      <c r="G338" s="818"/>
      <c r="H338" s="819"/>
      <c r="I338" s="857"/>
      <c r="J338" s="817"/>
      <c r="K338" s="821"/>
      <c r="L338" s="822"/>
      <c r="M338" s="823"/>
      <c r="N338" s="824"/>
    </row>
    <row r="339" spans="1:16" s="874" customFormat="1" ht="11.25" customHeight="1" x14ac:dyDescent="0.25">
      <c r="A339" s="862"/>
      <c r="B339" s="834"/>
      <c r="C339" s="834"/>
      <c r="D339" s="862"/>
      <c r="E339" s="862"/>
      <c r="F339" s="859"/>
      <c r="G339" s="821"/>
      <c r="H339" s="862"/>
      <c r="I339" s="877"/>
      <c r="J339" s="859"/>
      <c r="K339" s="821"/>
      <c r="L339" s="822"/>
      <c r="M339" s="878"/>
      <c r="N339" s="879"/>
      <c r="O339" s="873"/>
      <c r="P339" s="873"/>
    </row>
    <row r="340" spans="1:16" s="883" customFormat="1" ht="15" customHeight="1" x14ac:dyDescent="0.2">
      <c r="A340" s="847"/>
      <c r="B340" s="842"/>
      <c r="C340" s="842"/>
      <c r="D340" s="846"/>
      <c r="E340" s="847"/>
      <c r="F340" s="848"/>
      <c r="G340" s="851"/>
      <c r="H340" s="880"/>
      <c r="I340" s="881"/>
      <c r="J340" s="848"/>
      <c r="K340" s="851"/>
      <c r="L340" s="853"/>
      <c r="M340" s="852"/>
      <c r="N340" s="882"/>
    </row>
    <row r="341" spans="1:16" s="14" customFormat="1" ht="16.5" thickBot="1" x14ac:dyDescent="0.3">
      <c r="A341" s="888" t="s">
        <v>667</v>
      </c>
      <c r="B341" s="826"/>
      <c r="C341" s="826"/>
      <c r="D341" s="826"/>
      <c r="E341" s="826"/>
      <c r="F341" s="827"/>
      <c r="G341" s="828"/>
      <c r="H341" s="829"/>
      <c r="I341" s="830"/>
      <c r="J341" s="827"/>
      <c r="K341" s="828"/>
      <c r="L341" s="831"/>
      <c r="M341" s="832"/>
      <c r="N341" s="833">
        <f>SUM(N74:N340)</f>
        <v>18788.731000000138</v>
      </c>
    </row>
    <row r="342" spans="1:16" ht="11.25" customHeight="1" thickTop="1" x14ac:dyDescent="0.25">
      <c r="A342" s="663"/>
      <c r="B342" s="642"/>
      <c r="C342" s="642"/>
      <c r="D342" s="666"/>
      <c r="E342" s="663"/>
      <c r="F342" s="664"/>
      <c r="G342" s="649"/>
      <c r="H342" s="666"/>
      <c r="I342" s="691"/>
      <c r="J342" s="664"/>
      <c r="K342" s="649"/>
      <c r="L342" s="650"/>
      <c r="M342" s="665"/>
      <c r="N342" s="713"/>
    </row>
    <row r="344" spans="1:16" ht="11.25" customHeight="1" x14ac:dyDescent="0.25">
      <c r="A344" s="663"/>
      <c r="B344" s="642"/>
      <c r="C344" s="642"/>
      <c r="D344" s="706"/>
      <c r="E344" s="663"/>
      <c r="F344" s="664"/>
      <c r="G344" s="649"/>
      <c r="H344" s="706"/>
      <c r="I344" s="691"/>
      <c r="J344" s="664"/>
      <c r="K344" s="649"/>
      <c r="L344" s="650"/>
      <c r="M344" s="665"/>
      <c r="N344" s="713"/>
    </row>
  </sheetData>
  <sortState ref="A13:P60">
    <sortCondition ref="B13:B6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181"/>
  <sheetViews>
    <sheetView topLeftCell="A4" workbookViewId="0">
      <selection activeCell="J30" sqref="J30"/>
    </sheetView>
  </sheetViews>
  <sheetFormatPr defaultRowHeight="11.25" customHeight="1" x14ac:dyDescent="0.25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8" customWidth="1"/>
    <col min="15" max="15" width="16.42578125" style="1" bestFit="1" customWidth="1"/>
    <col min="17" max="16384" width="9.140625" style="1"/>
  </cols>
  <sheetData>
    <row r="2" spans="1:26" ht="18.75" x14ac:dyDescent="0.3">
      <c r="A2" s="33" t="s">
        <v>880</v>
      </c>
      <c r="J2" s="456"/>
      <c r="K2" s="456"/>
      <c r="L2" s="1"/>
      <c r="M2" s="16"/>
      <c r="N2" s="148"/>
      <c r="O2" s="128"/>
      <c r="P2" s="456"/>
    </row>
    <row r="3" spans="1:26" ht="9" customHeight="1" x14ac:dyDescent="0.3">
      <c r="A3" s="33"/>
    </row>
    <row r="4" spans="1:26" s="7" customFormat="1" ht="19.5" thickBot="1" x14ac:dyDescent="0.35">
      <c r="A4" s="34">
        <f>SUM(K6+K42)</f>
        <v>149823.27763104893</v>
      </c>
      <c r="C4" s="3"/>
      <c r="D4" s="6"/>
      <c r="F4" s="127"/>
      <c r="G4" s="194"/>
      <c r="I4" s="24"/>
      <c r="J4" s="382"/>
      <c r="K4" s="194"/>
      <c r="L4" s="107"/>
      <c r="M4" s="278"/>
      <c r="N4" s="289"/>
    </row>
    <row r="5" spans="1:26" s="11" customFormat="1" ht="16.5" thickTop="1" x14ac:dyDescent="0.25">
      <c r="A5" s="7"/>
      <c r="B5" s="3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8"/>
      <c r="O5" s="59"/>
    </row>
    <row r="6" spans="1:26" s="14" customFormat="1" ht="18.75" x14ac:dyDescent="0.3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SUM(N37)</f>
        <v>37347.023969760034</v>
      </c>
      <c r="L6" s="302"/>
      <c r="M6" s="213"/>
      <c r="N6" s="290"/>
      <c r="O6" s="207"/>
    </row>
    <row r="7" spans="1:26" s="2" customFormat="1" ht="15" customHeight="1" x14ac:dyDescent="0.2">
      <c r="B7" s="337" t="s">
        <v>953</v>
      </c>
      <c r="C7" s="2" t="s">
        <v>875</v>
      </c>
      <c r="D7" s="2" t="s">
        <v>17</v>
      </c>
      <c r="E7" s="2" t="s">
        <v>26</v>
      </c>
      <c r="F7" s="63" t="s">
        <v>957</v>
      </c>
      <c r="G7" s="129" t="s">
        <v>675</v>
      </c>
      <c r="I7" s="61" t="s">
        <v>887</v>
      </c>
      <c r="J7" s="372" t="s">
        <v>959</v>
      </c>
      <c r="K7" s="129" t="s">
        <v>674</v>
      </c>
      <c r="L7" s="108" t="s">
        <v>894</v>
      </c>
      <c r="M7" s="167" t="s">
        <v>27</v>
      </c>
      <c r="N7" s="291" t="s">
        <v>15</v>
      </c>
      <c r="O7" s="2" t="s">
        <v>4</v>
      </c>
    </row>
    <row r="8" spans="1:26" s="2" customFormat="1" ht="15" customHeight="1" x14ac:dyDescent="0.2">
      <c r="B8" s="2" t="s">
        <v>0</v>
      </c>
      <c r="D8" s="2" t="s">
        <v>25</v>
      </c>
      <c r="E8" s="2" t="s">
        <v>21</v>
      </c>
      <c r="F8" s="63" t="s">
        <v>958</v>
      </c>
      <c r="G8" s="129" t="s">
        <v>380</v>
      </c>
      <c r="I8" s="61" t="s">
        <v>888</v>
      </c>
      <c r="J8" s="372" t="s">
        <v>958</v>
      </c>
      <c r="K8" s="129" t="s">
        <v>893</v>
      </c>
      <c r="L8" s="108" t="s">
        <v>380</v>
      </c>
      <c r="M8" s="167" t="s">
        <v>1301</v>
      </c>
      <c r="N8" s="291" t="s">
        <v>885</v>
      </c>
      <c r="O8" s="2" t="s">
        <v>24</v>
      </c>
    </row>
    <row r="9" spans="1:26" s="2" customFormat="1" ht="15" customHeight="1" x14ac:dyDescent="0.2">
      <c r="F9" s="63"/>
      <c r="G9" s="129"/>
      <c r="I9" s="284"/>
      <c r="J9" s="372"/>
      <c r="K9" s="129"/>
      <c r="L9" s="108"/>
      <c r="M9" s="167"/>
      <c r="N9" s="291"/>
    </row>
    <row r="10" spans="1:26" s="117" customFormat="1" ht="15" customHeight="1" x14ac:dyDescent="0.2">
      <c r="A10" s="2" t="s">
        <v>1047</v>
      </c>
      <c r="B10" s="84" t="s">
        <v>33</v>
      </c>
      <c r="C10" s="84" t="s">
        <v>53</v>
      </c>
      <c r="D10" s="77">
        <v>36892</v>
      </c>
      <c r="E10" s="76">
        <v>1</v>
      </c>
      <c r="F10" s="150">
        <v>1</v>
      </c>
      <c r="G10" s="195">
        <f>SUM(E10*F10)/100</f>
        <v>0.01</v>
      </c>
      <c r="H10" s="287"/>
      <c r="I10" s="810"/>
      <c r="J10" s="340">
        <v>1</v>
      </c>
      <c r="K10" s="197">
        <f>SUM(E10*J10)/100</f>
        <v>0.01</v>
      </c>
      <c r="L10" s="180">
        <f>SUM(K10-G10)</f>
        <v>0</v>
      </c>
      <c r="M10" s="168">
        <v>1</v>
      </c>
      <c r="N10" s="292">
        <f>SUM(K10-G10)*M10</f>
        <v>0</v>
      </c>
      <c r="O10" s="287"/>
      <c r="P10" s="287"/>
    </row>
    <row r="11" spans="1:26" s="119" customFormat="1" ht="15" customHeight="1" x14ac:dyDescent="0.2">
      <c r="A11" s="17" t="s">
        <v>1048</v>
      </c>
      <c r="B11" s="86" t="s">
        <v>33</v>
      </c>
      <c r="C11" s="86" t="s">
        <v>78</v>
      </c>
      <c r="D11" s="87">
        <v>36893</v>
      </c>
      <c r="E11" s="85">
        <v>1</v>
      </c>
      <c r="F11" s="163">
        <v>1</v>
      </c>
      <c r="G11" s="196">
        <f>SUM(E11*F11)/100</f>
        <v>0.01</v>
      </c>
      <c r="H11" s="118"/>
      <c r="I11" s="810"/>
      <c r="J11" s="341">
        <v>1</v>
      </c>
      <c r="K11" s="186">
        <f>SUM(E11*J11)/100</f>
        <v>0.01</v>
      </c>
      <c r="L11" s="183">
        <f>SUM(G11-K11)</f>
        <v>0</v>
      </c>
      <c r="M11" s="173">
        <v>1</v>
      </c>
      <c r="N11" s="293">
        <f>SUM(G11-K11)*M11</f>
        <v>0</v>
      </c>
      <c r="O11" s="118"/>
      <c r="P11" s="118"/>
    </row>
    <row r="12" spans="1:26" s="119" customFormat="1" ht="15" customHeight="1" x14ac:dyDescent="0.2">
      <c r="A12" s="17"/>
      <c r="B12" s="86"/>
      <c r="C12" s="86"/>
      <c r="D12" s="77"/>
      <c r="E12" s="76"/>
      <c r="F12" s="82"/>
      <c r="G12" s="195"/>
      <c r="H12" s="287"/>
      <c r="I12" s="810"/>
      <c r="J12" s="363"/>
      <c r="K12" s="197"/>
      <c r="L12" s="180"/>
      <c r="M12" s="168"/>
      <c r="N12" s="293"/>
      <c r="O12" s="118"/>
      <c r="P12" s="118"/>
    </row>
    <row r="13" spans="1:26" ht="11.25" customHeight="1" x14ac:dyDescent="0.25">
      <c r="I13" s="811"/>
    </row>
    <row r="14" spans="1:26" ht="11.25" customHeight="1" x14ac:dyDescent="0.25">
      <c r="I14" s="811"/>
    </row>
    <row r="15" spans="1:26" ht="11.25" customHeight="1" x14ac:dyDescent="0.25">
      <c r="I15" s="811"/>
    </row>
    <row r="16" spans="1:26" s="117" customFormat="1" ht="15" customHeight="1" x14ac:dyDescent="0.25">
      <c r="A16" s="337" t="s">
        <v>1392</v>
      </c>
      <c r="B16" s="199" t="s">
        <v>1393</v>
      </c>
      <c r="C16" s="199" t="s">
        <v>53</v>
      </c>
      <c r="D16" s="200">
        <v>41557</v>
      </c>
      <c r="E16" s="198">
        <v>55257</v>
      </c>
      <c r="F16" s="201">
        <v>101.27</v>
      </c>
      <c r="G16" s="380">
        <f t="shared" ref="G16:G28" si="0">SUM(E16*F16)/100</f>
        <v>55958.763899999998</v>
      </c>
      <c r="H16" s="378"/>
      <c r="I16" s="812">
        <v>97.9</v>
      </c>
      <c r="J16" s="201">
        <v>104.9</v>
      </c>
      <c r="K16" s="359">
        <f t="shared" ref="K16:K28" si="1">SUM(E16*J16)/100</f>
        <v>57964.593000000008</v>
      </c>
      <c r="L16" s="349">
        <f t="shared" ref="L16:L28" si="2">SUM(K16-G16)</f>
        <v>2005.8291000000099</v>
      </c>
      <c r="M16" s="202">
        <v>1.6140000000000001</v>
      </c>
      <c r="N16" s="292">
        <f t="shared" ref="N16:N28" si="3">SUM(K16-G16)*M16</f>
        <v>3237.4081674000163</v>
      </c>
      <c r="O16" s="1"/>
      <c r="P16" s="33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337" t="s">
        <v>1442</v>
      </c>
      <c r="B17" s="199" t="s">
        <v>809</v>
      </c>
      <c r="C17" s="199" t="s">
        <v>53</v>
      </c>
      <c r="D17" s="200">
        <v>41568</v>
      </c>
      <c r="E17" s="198">
        <v>3918</v>
      </c>
      <c r="F17" s="201">
        <v>1544</v>
      </c>
      <c r="G17" s="380">
        <f t="shared" si="0"/>
        <v>60493.919999999998</v>
      </c>
      <c r="H17" s="378"/>
      <c r="I17" s="812">
        <v>1502</v>
      </c>
      <c r="J17" s="201">
        <v>1521</v>
      </c>
      <c r="K17" s="359">
        <f t="shared" si="1"/>
        <v>59592.78</v>
      </c>
      <c r="L17" s="349">
        <f t="shared" si="2"/>
        <v>-901.13999999999942</v>
      </c>
      <c r="M17" s="202">
        <v>1.6163000000000001</v>
      </c>
      <c r="N17" s="292">
        <f t="shared" si="3"/>
        <v>-1456.5125819999992</v>
      </c>
      <c r="O17" s="378"/>
      <c r="P17" s="378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s="117" customFormat="1" ht="15" customHeight="1" x14ac:dyDescent="0.2">
      <c r="A18" s="337" t="s">
        <v>1424</v>
      </c>
      <c r="B18" s="199" t="s">
        <v>1425</v>
      </c>
      <c r="C18" s="199" t="s">
        <v>53</v>
      </c>
      <c r="D18" s="200">
        <v>41563</v>
      </c>
      <c r="E18" s="198">
        <v>2076</v>
      </c>
      <c r="F18" s="201">
        <v>1073</v>
      </c>
      <c r="G18" s="380">
        <f t="shared" si="0"/>
        <v>22275.48</v>
      </c>
      <c r="H18" s="378"/>
      <c r="I18" s="812">
        <v>1082.7</v>
      </c>
      <c r="J18" s="201">
        <v>1182</v>
      </c>
      <c r="K18" s="359">
        <f t="shared" si="1"/>
        <v>24538.32</v>
      </c>
      <c r="L18" s="349">
        <f t="shared" si="2"/>
        <v>2262.84</v>
      </c>
      <c r="M18" s="202">
        <v>1.6164000000000001</v>
      </c>
      <c r="N18" s="292">
        <f t="shared" si="3"/>
        <v>3657.6545760000004</v>
      </c>
      <c r="O18" s="378"/>
      <c r="P18" s="378"/>
    </row>
    <row r="19" spans="1:26" s="117" customFormat="1" ht="15" customHeight="1" x14ac:dyDescent="0.2">
      <c r="A19" s="337" t="s">
        <v>1348</v>
      </c>
      <c r="B19" s="199" t="s">
        <v>832</v>
      </c>
      <c r="C19" s="199" t="s">
        <v>53</v>
      </c>
      <c r="D19" s="200">
        <v>41527</v>
      </c>
      <c r="E19" s="198">
        <v>13111</v>
      </c>
      <c r="F19" s="201">
        <v>608</v>
      </c>
      <c r="G19" s="380">
        <f t="shared" si="0"/>
        <v>79714.880000000005</v>
      </c>
      <c r="H19" s="378"/>
      <c r="I19" s="812">
        <v>612.55999999999995</v>
      </c>
      <c r="J19" s="201">
        <v>654</v>
      </c>
      <c r="K19" s="359">
        <f t="shared" si="1"/>
        <v>85745.94</v>
      </c>
      <c r="L19" s="349">
        <f t="shared" si="2"/>
        <v>6031.0599999999977</v>
      </c>
      <c r="M19" s="202">
        <v>1.6164000000000001</v>
      </c>
      <c r="N19" s="292">
        <f t="shared" si="3"/>
        <v>9748.6053839999968</v>
      </c>
      <c r="O19" s="378"/>
      <c r="P19" s="378"/>
    </row>
    <row r="20" spans="1:26" s="117" customFormat="1" ht="15" customHeight="1" x14ac:dyDescent="0.2">
      <c r="A20" s="337" t="s">
        <v>1426</v>
      </c>
      <c r="B20" s="199" t="s">
        <v>1427</v>
      </c>
      <c r="C20" s="199" t="s">
        <v>53</v>
      </c>
      <c r="D20" s="200">
        <v>41564</v>
      </c>
      <c r="E20" s="198">
        <v>37382</v>
      </c>
      <c r="F20" s="201">
        <v>103</v>
      </c>
      <c r="G20" s="380">
        <f t="shared" si="0"/>
        <v>38503.46</v>
      </c>
      <c r="H20" s="378"/>
      <c r="I20" s="812">
        <v>99.84</v>
      </c>
      <c r="J20" s="201">
        <v>108</v>
      </c>
      <c r="K20" s="359">
        <f t="shared" si="1"/>
        <v>40372.559999999998</v>
      </c>
      <c r="L20" s="349">
        <f t="shared" si="2"/>
        <v>1869.0999999999985</v>
      </c>
      <c r="M20" s="202">
        <v>1.6164000000000001</v>
      </c>
      <c r="N20" s="292">
        <f t="shared" si="3"/>
        <v>3021.2132399999978</v>
      </c>
      <c r="O20" s="378"/>
      <c r="P20" s="378"/>
    </row>
    <row r="21" spans="1:26" s="117" customFormat="1" ht="15" customHeight="1" x14ac:dyDescent="0.2">
      <c r="A21" s="337" t="s">
        <v>1428</v>
      </c>
      <c r="B21" s="199" t="s">
        <v>1429</v>
      </c>
      <c r="C21" s="199" t="s">
        <v>53</v>
      </c>
      <c r="D21" s="200">
        <v>41562</v>
      </c>
      <c r="E21" s="198">
        <v>35600</v>
      </c>
      <c r="F21" s="201">
        <v>94.75</v>
      </c>
      <c r="G21" s="380">
        <f t="shared" si="0"/>
        <v>33731</v>
      </c>
      <c r="H21" s="378"/>
      <c r="I21" s="812">
        <v>96.53</v>
      </c>
      <c r="J21" s="201">
        <v>105</v>
      </c>
      <c r="K21" s="359">
        <f t="shared" si="1"/>
        <v>37380</v>
      </c>
      <c r="L21" s="349">
        <f t="shared" si="2"/>
        <v>3649</v>
      </c>
      <c r="M21" s="202">
        <v>1.6164000000000001</v>
      </c>
      <c r="N21" s="292">
        <f t="shared" si="3"/>
        <v>5898.2435999999998</v>
      </c>
      <c r="O21" s="287"/>
      <c r="P21" s="287"/>
    </row>
    <row r="22" spans="1:26" s="117" customFormat="1" ht="15" customHeight="1" x14ac:dyDescent="0.2">
      <c r="A22" s="337" t="s">
        <v>1332</v>
      </c>
      <c r="B22" s="199" t="s">
        <v>1333</v>
      </c>
      <c r="C22" s="199" t="s">
        <v>53</v>
      </c>
      <c r="D22" s="200">
        <v>41523</v>
      </c>
      <c r="E22" s="198">
        <v>9707</v>
      </c>
      <c r="F22" s="201">
        <v>226.28</v>
      </c>
      <c r="G22" s="380">
        <f t="shared" si="0"/>
        <v>21964.999599999999</v>
      </c>
      <c r="H22" s="378"/>
      <c r="I22" s="812">
        <v>236.9</v>
      </c>
      <c r="J22" s="201">
        <v>255.5</v>
      </c>
      <c r="K22" s="359">
        <f t="shared" si="1"/>
        <v>24801.384999999998</v>
      </c>
      <c r="L22" s="349">
        <f t="shared" si="2"/>
        <v>2836.3853999999992</v>
      </c>
      <c r="M22" s="202">
        <v>1.6164000000000001</v>
      </c>
      <c r="N22" s="292">
        <f t="shared" si="3"/>
        <v>4584.7333605599988</v>
      </c>
      <c r="O22" s="378"/>
      <c r="P22" s="378"/>
    </row>
    <row r="23" spans="1:26" s="117" customFormat="1" ht="15" customHeight="1" x14ac:dyDescent="0.2">
      <c r="A23" s="337" t="s">
        <v>1434</v>
      </c>
      <c r="B23" s="199" t="s">
        <v>1435</v>
      </c>
      <c r="C23" s="199" t="s">
        <v>53</v>
      </c>
      <c r="D23" s="200">
        <v>41563</v>
      </c>
      <c r="E23" s="198">
        <v>14106</v>
      </c>
      <c r="F23" s="201">
        <v>305.3</v>
      </c>
      <c r="G23" s="380">
        <f t="shared" si="0"/>
        <v>43065.617999999995</v>
      </c>
      <c r="H23" s="378"/>
      <c r="I23" s="812">
        <v>294.7</v>
      </c>
      <c r="J23" s="201">
        <v>311.7</v>
      </c>
      <c r="K23" s="359">
        <f t="shared" si="1"/>
        <v>43968.402000000002</v>
      </c>
      <c r="L23" s="349">
        <f t="shared" si="2"/>
        <v>902.78400000000693</v>
      </c>
      <c r="M23" s="202">
        <v>1.6164000000000001</v>
      </c>
      <c r="N23" s="292">
        <f t="shared" si="3"/>
        <v>1459.2600576000114</v>
      </c>
      <c r="O23" s="378"/>
      <c r="P23" s="378"/>
    </row>
    <row r="24" spans="1:26" s="117" customFormat="1" ht="15" customHeight="1" x14ac:dyDescent="0.2">
      <c r="A24" s="337" t="s">
        <v>1354</v>
      </c>
      <c r="B24" s="199" t="s">
        <v>1355</v>
      </c>
      <c r="C24" s="199" t="s">
        <v>53</v>
      </c>
      <c r="D24" s="200">
        <v>41533</v>
      </c>
      <c r="E24" s="198">
        <v>10307</v>
      </c>
      <c r="F24" s="201">
        <v>454</v>
      </c>
      <c r="G24" s="380">
        <f t="shared" si="0"/>
        <v>46793.78</v>
      </c>
      <c r="H24" s="378"/>
      <c r="I24" s="812">
        <v>456.6</v>
      </c>
      <c r="J24" s="201">
        <v>469.2</v>
      </c>
      <c r="K24" s="359">
        <f t="shared" si="1"/>
        <v>48360.443999999996</v>
      </c>
      <c r="L24" s="349">
        <f t="shared" si="2"/>
        <v>1566.663999999997</v>
      </c>
      <c r="M24" s="202">
        <v>1.6164000000000001</v>
      </c>
      <c r="N24" s="292">
        <f t="shared" si="3"/>
        <v>2532.3556895999955</v>
      </c>
      <c r="O24" s="378"/>
      <c r="P24" s="378"/>
    </row>
    <row r="25" spans="1:26" s="117" customFormat="1" ht="15" customHeight="1" x14ac:dyDescent="0.2">
      <c r="A25" s="337" t="s">
        <v>785</v>
      </c>
      <c r="B25" s="199" t="s">
        <v>786</v>
      </c>
      <c r="C25" s="199" t="s">
        <v>53</v>
      </c>
      <c r="D25" s="200">
        <v>41575</v>
      </c>
      <c r="E25" s="198">
        <v>6506</v>
      </c>
      <c r="F25" s="201">
        <v>873</v>
      </c>
      <c r="G25" s="380">
        <f t="shared" si="0"/>
        <v>56797.38</v>
      </c>
      <c r="H25" s="378"/>
      <c r="I25" s="812">
        <v>847</v>
      </c>
      <c r="J25" s="201">
        <v>879</v>
      </c>
      <c r="K25" s="359">
        <f t="shared" si="1"/>
        <v>57187.74</v>
      </c>
      <c r="L25" s="349">
        <f t="shared" si="2"/>
        <v>390.36000000000058</v>
      </c>
      <c r="M25" s="202">
        <v>1.61629</v>
      </c>
      <c r="N25" s="292">
        <f t="shared" si="3"/>
        <v>630.93496440000092</v>
      </c>
      <c r="O25" s="378"/>
      <c r="P25" s="378"/>
    </row>
    <row r="26" spans="1:26" s="117" customFormat="1" ht="15" customHeight="1" x14ac:dyDescent="0.2">
      <c r="A26" s="337" t="s">
        <v>1459</v>
      </c>
      <c r="B26" s="199" t="s">
        <v>1460</v>
      </c>
      <c r="C26" s="199" t="s">
        <v>53</v>
      </c>
      <c r="D26" s="200">
        <v>41577</v>
      </c>
      <c r="E26" s="198">
        <v>13012</v>
      </c>
      <c r="F26" s="201">
        <v>344.6</v>
      </c>
      <c r="G26" s="380">
        <f t="shared" si="0"/>
        <v>44839.351999999999</v>
      </c>
      <c r="H26" s="378"/>
      <c r="I26" s="812">
        <v>331.6</v>
      </c>
      <c r="J26" s="201">
        <v>353.3</v>
      </c>
      <c r="K26" s="359">
        <f t="shared" si="1"/>
        <v>45971.396000000008</v>
      </c>
      <c r="L26" s="349">
        <f t="shared" si="2"/>
        <v>1132.044000000009</v>
      </c>
      <c r="M26" s="202">
        <v>1.6111</v>
      </c>
      <c r="N26" s="292">
        <f t="shared" si="3"/>
        <v>1823.8360884000144</v>
      </c>
      <c r="O26" s="378"/>
      <c r="P26" s="378"/>
    </row>
    <row r="27" spans="1:26" s="117" customFormat="1" ht="15" customHeight="1" x14ac:dyDescent="0.2">
      <c r="A27" s="337" t="s">
        <v>1443</v>
      </c>
      <c r="B27" s="199" t="s">
        <v>1444</v>
      </c>
      <c r="C27" s="199" t="s">
        <v>53</v>
      </c>
      <c r="D27" s="200">
        <v>41568</v>
      </c>
      <c r="E27" s="198">
        <v>20572</v>
      </c>
      <c r="F27" s="201">
        <v>131.1</v>
      </c>
      <c r="G27" s="380">
        <f t="shared" si="0"/>
        <v>26969.891999999996</v>
      </c>
      <c r="H27" s="378"/>
      <c r="I27" s="812">
        <v>130.88999999999999</v>
      </c>
      <c r="J27" s="201">
        <v>139.25</v>
      </c>
      <c r="K27" s="359">
        <f t="shared" si="1"/>
        <v>28646.51</v>
      </c>
      <c r="L27" s="349">
        <f t="shared" si="2"/>
        <v>1676.6180000000022</v>
      </c>
      <c r="M27" s="202">
        <v>1.6163000000000001</v>
      </c>
      <c r="N27" s="292">
        <f t="shared" si="3"/>
        <v>2709.9176734000039</v>
      </c>
      <c r="O27" s="378"/>
      <c r="P27" s="378"/>
    </row>
    <row r="28" spans="1:26" s="117" customFormat="1" ht="15" customHeight="1" x14ac:dyDescent="0.2">
      <c r="A28" s="337" t="s">
        <v>1436</v>
      </c>
      <c r="B28" s="199" t="s">
        <v>1437</v>
      </c>
      <c r="C28" s="199" t="s">
        <v>53</v>
      </c>
      <c r="D28" s="200">
        <v>41563</v>
      </c>
      <c r="E28" s="198">
        <v>3323</v>
      </c>
      <c r="F28" s="201">
        <v>1178.7</v>
      </c>
      <c r="G28" s="380">
        <f t="shared" si="0"/>
        <v>39168.201000000001</v>
      </c>
      <c r="H28" s="378"/>
      <c r="I28" s="812">
        <v>1162</v>
      </c>
      <c r="J28" s="201">
        <v>1187</v>
      </c>
      <c r="K28" s="359">
        <f t="shared" si="1"/>
        <v>39444.01</v>
      </c>
      <c r="L28" s="349">
        <f t="shared" si="2"/>
        <v>275.80900000000111</v>
      </c>
      <c r="M28" s="202">
        <v>1.6164000000000001</v>
      </c>
      <c r="N28" s="292">
        <f t="shared" si="3"/>
        <v>445.81766760000181</v>
      </c>
      <c r="O28" s="378"/>
      <c r="P28" s="378"/>
    </row>
    <row r="29" spans="1:26" s="117" customFormat="1" ht="15" customHeight="1" x14ac:dyDescent="0.2">
      <c r="A29" s="337" t="s">
        <v>1478</v>
      </c>
      <c r="B29" s="339" t="s">
        <v>1479</v>
      </c>
      <c r="C29" s="339" t="s">
        <v>53</v>
      </c>
      <c r="D29" s="338">
        <v>41591</v>
      </c>
      <c r="E29" s="376">
        <v>17278</v>
      </c>
      <c r="F29" s="340">
        <v>408.2</v>
      </c>
      <c r="G29" s="380">
        <f>SUM(E29*F29)/100</f>
        <v>70528.796000000002</v>
      </c>
      <c r="H29" s="378"/>
      <c r="I29" s="810">
        <v>394.4</v>
      </c>
      <c r="J29" s="340">
        <v>404.8</v>
      </c>
      <c r="K29" s="359">
        <f>SUM(E29*J29)/100</f>
        <v>69941.343999999997</v>
      </c>
      <c r="L29" s="349">
        <f>SUM(K29-G29)</f>
        <v>-587.45200000000477</v>
      </c>
      <c r="M29" s="168">
        <v>1.6111</v>
      </c>
      <c r="N29" s="292">
        <f>SUM(K29-G29)*M29</f>
        <v>-946.44391720000772</v>
      </c>
      <c r="O29" s="378"/>
      <c r="P29" s="378"/>
    </row>
    <row r="30" spans="1:26" s="117" customFormat="1" ht="15" customHeight="1" x14ac:dyDescent="0.2">
      <c r="A30" s="337"/>
      <c r="B30" s="339"/>
      <c r="C30" s="339"/>
      <c r="D30" s="338"/>
      <c r="E30" s="376"/>
      <c r="F30" s="340"/>
      <c r="G30" s="380"/>
      <c r="H30" s="378"/>
      <c r="I30" s="810"/>
      <c r="J30" s="340"/>
      <c r="K30" s="359"/>
      <c r="L30" s="349"/>
      <c r="M30" s="168"/>
      <c r="N30" s="292"/>
      <c r="O30" s="378"/>
      <c r="P30" s="378"/>
    </row>
    <row r="31" spans="1:26" s="117" customFormat="1" ht="15" customHeight="1" x14ac:dyDescent="0.2">
      <c r="A31" s="337"/>
      <c r="B31" s="339"/>
      <c r="C31" s="339"/>
      <c r="D31" s="338"/>
      <c r="E31" s="376"/>
      <c r="F31" s="340"/>
      <c r="G31" s="380"/>
      <c r="H31" s="378"/>
      <c r="I31" s="810"/>
      <c r="J31" s="340"/>
      <c r="K31" s="359"/>
      <c r="L31" s="349"/>
      <c r="M31" s="168"/>
      <c r="N31" s="292"/>
      <c r="O31" s="378"/>
      <c r="P31" s="378"/>
    </row>
    <row r="32" spans="1:26" s="117" customFormat="1" ht="15" customHeight="1" x14ac:dyDescent="0.2">
      <c r="A32" s="337"/>
      <c r="B32" s="339"/>
      <c r="C32" s="339"/>
      <c r="D32" s="338"/>
      <c r="E32" s="376"/>
      <c r="F32" s="340"/>
      <c r="G32" s="380"/>
      <c r="H32" s="378"/>
      <c r="I32" s="810"/>
      <c r="J32" s="340"/>
      <c r="K32" s="359"/>
      <c r="L32" s="349"/>
      <c r="M32" s="168"/>
      <c r="N32" s="292"/>
      <c r="O32" s="378"/>
      <c r="P32" s="378"/>
    </row>
    <row r="33" spans="1:16" s="117" customFormat="1" ht="15" customHeight="1" x14ac:dyDescent="0.2">
      <c r="A33" s="337"/>
      <c r="B33" s="339"/>
      <c r="C33" s="339"/>
      <c r="D33" s="338"/>
      <c r="E33" s="376"/>
      <c r="F33" s="340"/>
      <c r="G33" s="380"/>
      <c r="H33" s="378"/>
      <c r="I33" s="810"/>
      <c r="J33" s="340"/>
      <c r="K33" s="359"/>
      <c r="L33" s="349"/>
      <c r="M33" s="168"/>
      <c r="N33" s="292"/>
      <c r="O33" s="378"/>
      <c r="P33" s="378"/>
    </row>
    <row r="34" spans="1:16" s="117" customFormat="1" ht="15" customHeight="1" x14ac:dyDescent="0.2">
      <c r="A34" s="337"/>
      <c r="B34" s="339"/>
      <c r="C34" s="339"/>
      <c r="D34" s="338"/>
      <c r="E34" s="376"/>
      <c r="F34" s="340"/>
      <c r="G34" s="380"/>
      <c r="H34" s="378"/>
      <c r="I34" s="810"/>
      <c r="J34" s="340"/>
      <c r="K34" s="359"/>
      <c r="L34" s="349"/>
      <c r="M34" s="168"/>
      <c r="N34" s="292"/>
      <c r="O34" s="378"/>
      <c r="P34" s="378"/>
    </row>
    <row r="35" spans="1:16" s="117" customFormat="1" ht="15" customHeight="1" x14ac:dyDescent="0.2">
      <c r="A35" s="3"/>
      <c r="B35" s="3"/>
      <c r="C35" s="3"/>
      <c r="D35" s="1"/>
      <c r="E35" s="1"/>
      <c r="F35" s="52"/>
      <c r="G35" s="128"/>
      <c r="H35" s="1"/>
      <c r="I35" s="811"/>
      <c r="J35" s="52"/>
      <c r="K35" s="128"/>
      <c r="L35" s="106"/>
      <c r="M35" s="165"/>
      <c r="N35" s="288"/>
      <c r="O35" s="378"/>
      <c r="P35" s="378"/>
    </row>
    <row r="36" spans="1:16" s="8" customFormat="1" ht="15" customHeight="1" x14ac:dyDescent="0.2">
      <c r="A36" s="17"/>
      <c r="B36" s="17"/>
      <c r="C36" s="17"/>
      <c r="D36" s="101"/>
      <c r="E36" s="18"/>
      <c r="F36" s="146"/>
      <c r="G36" s="186"/>
      <c r="H36" s="101"/>
      <c r="I36" s="813"/>
      <c r="J36" s="146"/>
      <c r="K36" s="197"/>
      <c r="L36" s="180"/>
      <c r="M36" s="190"/>
      <c r="N36" s="304"/>
      <c r="O36" s="18"/>
      <c r="P36" s="158"/>
    </row>
    <row r="37" spans="1:16" s="14" customFormat="1" ht="16.5" thickBot="1" x14ac:dyDescent="0.3">
      <c r="A37" s="35" t="s">
        <v>32</v>
      </c>
      <c r="B37" s="35"/>
      <c r="C37" s="35"/>
      <c r="D37" s="35"/>
      <c r="E37" s="35"/>
      <c r="F37" s="55"/>
      <c r="G37" s="132"/>
      <c r="H37" s="37"/>
      <c r="I37" s="38"/>
      <c r="J37" s="55"/>
      <c r="K37" s="55"/>
      <c r="L37" s="110"/>
      <c r="M37" s="170"/>
      <c r="N37" s="239">
        <f>SUM(N13:N36)</f>
        <v>37347.023969760034</v>
      </c>
      <c r="O37" s="37"/>
    </row>
    <row r="38" spans="1:16" s="14" customFormat="1" ht="16.5" thickTop="1" x14ac:dyDescent="0.25">
      <c r="A38" s="48"/>
      <c r="B38" s="48"/>
      <c r="C38" s="48"/>
      <c r="D38" s="48"/>
      <c r="E38" s="48"/>
      <c r="F38" s="56"/>
      <c r="G38" s="133"/>
      <c r="H38" s="50"/>
      <c r="I38" s="51"/>
      <c r="J38" s="56"/>
      <c r="K38" s="133"/>
      <c r="L38" s="111"/>
      <c r="M38" s="171"/>
      <c r="N38" s="296"/>
      <c r="O38" s="50"/>
    </row>
    <row r="39" spans="1:16" ht="11.25" customHeight="1" x14ac:dyDescent="0.25">
      <c r="A39" s="90"/>
      <c r="B39" s="90"/>
      <c r="C39" s="90"/>
      <c r="D39" s="44"/>
      <c r="E39" s="43"/>
      <c r="F39" s="57"/>
      <c r="G39" s="134"/>
      <c r="H39" s="44"/>
      <c r="I39" s="46"/>
      <c r="J39" s="57"/>
      <c r="K39" s="134"/>
      <c r="L39" s="112"/>
      <c r="M39" s="172"/>
      <c r="N39" s="297"/>
      <c r="O39" s="43"/>
    </row>
    <row r="40" spans="1:16" ht="11.25" customHeight="1" x14ac:dyDescent="0.25">
      <c r="A40" s="90"/>
      <c r="B40" s="90"/>
      <c r="C40" s="90"/>
      <c r="D40" s="43"/>
      <c r="E40" s="43"/>
      <c r="F40" s="57"/>
      <c r="G40" s="134"/>
      <c r="H40" s="43"/>
      <c r="I40" s="46"/>
      <c r="J40" s="57"/>
      <c r="K40" s="134"/>
      <c r="L40" s="112"/>
      <c r="M40" s="172"/>
      <c r="N40" s="297"/>
      <c r="O40" s="47"/>
    </row>
    <row r="41" spans="1:16" ht="11.25" customHeight="1" x14ac:dyDescent="0.25">
      <c r="A41" s="27"/>
      <c r="B41" s="27"/>
      <c r="C41" s="27"/>
      <c r="D41" s="10"/>
      <c r="E41" s="10"/>
      <c r="F41" s="54"/>
      <c r="G41" s="131"/>
      <c r="H41" s="10"/>
      <c r="I41" s="26"/>
      <c r="J41" s="54"/>
      <c r="K41" s="131"/>
      <c r="L41" s="109"/>
      <c r="M41" s="169"/>
      <c r="N41" s="294"/>
      <c r="O41" s="21"/>
    </row>
    <row r="42" spans="1:16" s="22" customFormat="1" ht="18.75" x14ac:dyDescent="0.3">
      <c r="A42" s="285"/>
      <c r="B42" s="204"/>
      <c r="C42" s="217"/>
      <c r="D42" s="204"/>
      <c r="E42" s="204" t="s">
        <v>31</v>
      </c>
      <c r="F42" s="218"/>
      <c r="G42" s="219"/>
      <c r="H42" s="204"/>
      <c r="I42" s="205"/>
      <c r="J42" s="384"/>
      <c r="K42" s="238">
        <f>SUM(N180)</f>
        <v>112476.25366128891</v>
      </c>
      <c r="L42" s="303"/>
      <c r="M42" s="237"/>
      <c r="N42" s="298"/>
      <c r="O42" s="204"/>
    </row>
    <row r="43" spans="1:16" s="2" customFormat="1" ht="15" customHeight="1" x14ac:dyDescent="0.2">
      <c r="B43" s="2" t="s">
        <v>668</v>
      </c>
      <c r="C43" s="2" t="s">
        <v>875</v>
      </c>
      <c r="D43" s="2" t="s">
        <v>17</v>
      </c>
      <c r="E43" s="2" t="s">
        <v>26</v>
      </c>
      <c r="F43" s="63" t="s">
        <v>19</v>
      </c>
      <c r="G43" s="129" t="s">
        <v>876</v>
      </c>
      <c r="I43" s="61" t="s">
        <v>29</v>
      </c>
      <c r="J43" s="372" t="s">
        <v>18</v>
      </c>
      <c r="K43" s="129" t="s">
        <v>674</v>
      </c>
      <c r="L43" s="108" t="s">
        <v>894</v>
      </c>
      <c r="M43" s="167" t="s">
        <v>27</v>
      </c>
      <c r="N43" s="291" t="s">
        <v>15</v>
      </c>
      <c r="O43" s="2" t="s">
        <v>4</v>
      </c>
    </row>
    <row r="44" spans="1:16" s="2" customFormat="1" ht="15" customHeight="1" x14ac:dyDescent="0.2">
      <c r="B44" s="2" t="s">
        <v>0</v>
      </c>
      <c r="D44" s="2" t="s">
        <v>25</v>
      </c>
      <c r="E44" s="2" t="s">
        <v>21</v>
      </c>
      <c r="F44" s="63" t="s">
        <v>687</v>
      </c>
      <c r="G44" s="129" t="s">
        <v>380</v>
      </c>
      <c r="I44" s="61" t="s">
        <v>7</v>
      </c>
      <c r="J44" s="372" t="s">
        <v>687</v>
      </c>
      <c r="K44" s="129" t="s">
        <v>893</v>
      </c>
      <c r="L44" s="108" t="s">
        <v>380</v>
      </c>
      <c r="M44" s="167" t="s">
        <v>1301</v>
      </c>
      <c r="N44" s="291" t="s">
        <v>885</v>
      </c>
      <c r="O44" s="2" t="s">
        <v>24</v>
      </c>
    </row>
    <row r="45" spans="1:16" s="2" customFormat="1" ht="15" customHeight="1" x14ac:dyDescent="0.2">
      <c r="F45" s="63"/>
      <c r="G45" s="129"/>
      <c r="I45" s="61"/>
      <c r="J45" s="372"/>
      <c r="K45" s="129"/>
      <c r="L45" s="108"/>
      <c r="M45" s="167"/>
      <c r="N45" s="291"/>
    </row>
    <row r="46" spans="1:16" s="119" customFormat="1" ht="15" customHeight="1" x14ac:dyDescent="0.2">
      <c r="A46" s="17"/>
      <c r="B46" s="86"/>
      <c r="C46" s="86"/>
      <c r="D46" s="77"/>
      <c r="E46" s="76"/>
      <c r="F46" s="82"/>
      <c r="G46" s="195"/>
      <c r="H46" s="287"/>
      <c r="I46" s="79"/>
      <c r="J46" s="363"/>
      <c r="K46" s="197"/>
      <c r="L46" s="180"/>
      <c r="M46" s="168"/>
      <c r="N46" s="293"/>
      <c r="O46" s="118"/>
    </row>
    <row r="47" spans="1:16" s="119" customFormat="1" ht="15" customHeight="1" x14ac:dyDescent="0.2">
      <c r="A47" s="86" t="s">
        <v>688</v>
      </c>
      <c r="B47" s="86" t="s">
        <v>689</v>
      </c>
      <c r="C47" s="86" t="s">
        <v>78</v>
      </c>
      <c r="D47" s="160">
        <v>40830</v>
      </c>
      <c r="E47" s="161">
        <v>2403</v>
      </c>
      <c r="F47" s="162">
        <v>232.1</v>
      </c>
      <c r="G47" s="196">
        <f t="shared" ref="G47:G56" si="4">SUM(E47*F47)/100</f>
        <v>5577.3629999999994</v>
      </c>
      <c r="H47" s="118"/>
      <c r="I47" s="160">
        <v>40837</v>
      </c>
      <c r="J47" s="385">
        <v>259.3</v>
      </c>
      <c r="K47" s="186">
        <f t="shared" ref="K47:K56" si="5">SUM(E47*J47)/100</f>
        <v>6230.9790000000003</v>
      </c>
      <c r="L47" s="183">
        <f>SUM(G47-K47)</f>
        <v>-653.61600000000089</v>
      </c>
      <c r="M47" s="173">
        <v>1.57897</v>
      </c>
      <c r="N47" s="293">
        <f>SUM(G47-K47)*M47</f>
        <v>-1032.0400555200015</v>
      </c>
      <c r="O47" s="118"/>
    </row>
    <row r="48" spans="1:16" s="119" customFormat="1" ht="15" customHeight="1" x14ac:dyDescent="0.2">
      <c r="A48" s="86" t="s">
        <v>690</v>
      </c>
      <c r="B48" s="86" t="s">
        <v>691</v>
      </c>
      <c r="C48" s="86" t="s">
        <v>78</v>
      </c>
      <c r="D48" s="160">
        <v>40830</v>
      </c>
      <c r="E48" s="161">
        <v>1815</v>
      </c>
      <c r="F48" s="162">
        <v>318</v>
      </c>
      <c r="G48" s="196">
        <f t="shared" si="4"/>
        <v>5771.7</v>
      </c>
      <c r="H48" s="118"/>
      <c r="I48" s="160">
        <v>40837</v>
      </c>
      <c r="J48" s="385">
        <v>354</v>
      </c>
      <c r="K48" s="186">
        <f t="shared" si="5"/>
        <v>6425.1</v>
      </c>
      <c r="L48" s="183">
        <f>SUM(G48-K48)</f>
        <v>-653.40000000000055</v>
      </c>
      <c r="M48" s="173">
        <v>1.57897</v>
      </c>
      <c r="N48" s="293">
        <f>SUM(G48-K48)*M48</f>
        <v>-1031.6989980000008</v>
      </c>
      <c r="O48" s="118"/>
    </row>
    <row r="49" spans="1:15" s="119" customFormat="1" ht="15" customHeight="1" x14ac:dyDescent="0.2">
      <c r="A49" s="86" t="s">
        <v>692</v>
      </c>
      <c r="B49" s="86" t="s">
        <v>693</v>
      </c>
      <c r="C49" s="86" t="s">
        <v>78</v>
      </c>
      <c r="D49" s="160">
        <v>40830</v>
      </c>
      <c r="E49" s="161">
        <v>553</v>
      </c>
      <c r="F49" s="162">
        <v>1329</v>
      </c>
      <c r="G49" s="196">
        <f t="shared" si="4"/>
        <v>7349.37</v>
      </c>
      <c r="H49" s="118"/>
      <c r="I49" s="160">
        <v>40844</v>
      </c>
      <c r="J49" s="385">
        <v>1447</v>
      </c>
      <c r="K49" s="186">
        <f t="shared" si="5"/>
        <v>8001.91</v>
      </c>
      <c r="L49" s="183">
        <f>SUM(G49-K49)</f>
        <v>-652.54</v>
      </c>
      <c r="M49" s="173">
        <v>1.6100099999999999</v>
      </c>
      <c r="N49" s="293">
        <f>SUM(G49-K49)*M49</f>
        <v>-1050.5959253999999</v>
      </c>
      <c r="O49" s="118"/>
    </row>
    <row r="50" spans="1:15" s="119" customFormat="1" ht="15" customHeight="1" x14ac:dyDescent="0.2">
      <c r="A50" s="86" t="s">
        <v>694</v>
      </c>
      <c r="B50" s="86" t="s">
        <v>695</v>
      </c>
      <c r="C50" s="86" t="s">
        <v>78</v>
      </c>
      <c r="D50" s="160">
        <v>40830</v>
      </c>
      <c r="E50" s="161">
        <v>1219</v>
      </c>
      <c r="F50" s="162">
        <v>295.89999999999998</v>
      </c>
      <c r="G50" s="196">
        <f t="shared" si="4"/>
        <v>3607.0209999999997</v>
      </c>
      <c r="H50" s="118"/>
      <c r="I50" s="160">
        <v>40851</v>
      </c>
      <c r="J50" s="385">
        <v>349.5</v>
      </c>
      <c r="K50" s="186">
        <f t="shared" si="5"/>
        <v>4260.4049999999997</v>
      </c>
      <c r="L50" s="183">
        <f>SUM(G50-K50)</f>
        <v>-653.38400000000001</v>
      </c>
      <c r="M50" s="173">
        <v>1.6032200000000001</v>
      </c>
      <c r="N50" s="293">
        <f>SUM(G50-K50)*M50</f>
        <v>-1047.5182964800001</v>
      </c>
      <c r="O50" s="118"/>
    </row>
    <row r="51" spans="1:15" s="119" customFormat="1" ht="15" customHeight="1" x14ac:dyDescent="0.2">
      <c r="A51" s="84" t="s">
        <v>696</v>
      </c>
      <c r="B51" s="84" t="s">
        <v>697</v>
      </c>
      <c r="C51" s="80" t="s">
        <v>53</v>
      </c>
      <c r="D51" s="144">
        <v>40851</v>
      </c>
      <c r="E51" s="158">
        <v>1903</v>
      </c>
      <c r="F51" s="159">
        <v>506.7</v>
      </c>
      <c r="G51" s="195">
        <f t="shared" si="4"/>
        <v>9642.5010000000002</v>
      </c>
      <c r="H51" s="287"/>
      <c r="I51" s="144">
        <v>40872</v>
      </c>
      <c r="J51" s="383">
        <v>472.7</v>
      </c>
      <c r="K51" s="197">
        <f t="shared" si="5"/>
        <v>8995.4809999999998</v>
      </c>
      <c r="L51" s="180">
        <f>SUM(K51-G51)</f>
        <v>-647.02000000000044</v>
      </c>
      <c r="M51" s="168">
        <v>1.5494600000000001</v>
      </c>
      <c r="N51" s="292">
        <f>SUM(K51-G51)*M51</f>
        <v>-1002.5316092000007</v>
      </c>
      <c r="O51" s="118"/>
    </row>
    <row r="52" spans="1:15" s="119" customFormat="1" ht="15" customHeight="1" x14ac:dyDescent="0.2">
      <c r="A52" s="84" t="s">
        <v>698</v>
      </c>
      <c r="B52" s="84" t="s">
        <v>699</v>
      </c>
      <c r="C52" s="80" t="s">
        <v>53</v>
      </c>
      <c r="D52" s="144">
        <v>40844</v>
      </c>
      <c r="E52" s="158">
        <v>2141</v>
      </c>
      <c r="F52" s="159">
        <v>629</v>
      </c>
      <c r="G52" s="195">
        <f t="shared" si="4"/>
        <v>13466.89</v>
      </c>
      <c r="H52" s="287"/>
      <c r="I52" s="144">
        <v>40879</v>
      </c>
      <c r="J52" s="383">
        <v>645.1</v>
      </c>
      <c r="K52" s="197">
        <f t="shared" si="5"/>
        <v>13811.591</v>
      </c>
      <c r="L52" s="180">
        <f>SUM(K52-G52)</f>
        <v>344.70100000000093</v>
      </c>
      <c r="M52" s="168">
        <v>1.5686</v>
      </c>
      <c r="N52" s="292">
        <f>SUM(K52-G52)*M52</f>
        <v>540.69798860000151</v>
      </c>
      <c r="O52" s="118"/>
    </row>
    <row r="53" spans="1:15" s="119" customFormat="1" ht="15" customHeight="1" x14ac:dyDescent="0.2">
      <c r="A53" s="84" t="s">
        <v>700</v>
      </c>
      <c r="B53" s="84" t="s">
        <v>701</v>
      </c>
      <c r="C53" s="80" t="s">
        <v>53</v>
      </c>
      <c r="D53" s="144">
        <v>40872</v>
      </c>
      <c r="E53" s="158">
        <v>3346</v>
      </c>
      <c r="F53" s="159">
        <v>299.39999999999998</v>
      </c>
      <c r="G53" s="195">
        <f t="shared" si="4"/>
        <v>10017.923999999999</v>
      </c>
      <c r="H53" s="287"/>
      <c r="I53" s="144">
        <v>40879</v>
      </c>
      <c r="J53" s="383">
        <v>280.60000000000002</v>
      </c>
      <c r="K53" s="197">
        <f t="shared" si="5"/>
        <v>9388.8760000000002</v>
      </c>
      <c r="L53" s="180">
        <f>SUM(K53-G53)</f>
        <v>-629.04799999999886</v>
      </c>
      <c r="M53" s="168">
        <v>1.5686</v>
      </c>
      <c r="N53" s="292">
        <f>SUM(K53-G53)*M53</f>
        <v>-986.72469279999825</v>
      </c>
      <c r="O53" s="118"/>
    </row>
    <row r="54" spans="1:15" s="119" customFormat="1" ht="15" customHeight="1" x14ac:dyDescent="0.2">
      <c r="A54" s="86" t="s">
        <v>702</v>
      </c>
      <c r="B54" s="86" t="s">
        <v>703</v>
      </c>
      <c r="C54" s="86" t="s">
        <v>78</v>
      </c>
      <c r="D54" s="160">
        <v>40879</v>
      </c>
      <c r="E54" s="161">
        <v>3359</v>
      </c>
      <c r="F54" s="162">
        <v>343.2</v>
      </c>
      <c r="G54" s="196">
        <f t="shared" si="4"/>
        <v>11528.088</v>
      </c>
      <c r="H54" s="118"/>
      <c r="I54" s="160">
        <v>40886</v>
      </c>
      <c r="J54" s="385">
        <v>360.13</v>
      </c>
      <c r="K54" s="186">
        <f t="shared" si="5"/>
        <v>12096.7667</v>
      </c>
      <c r="L54" s="183">
        <f>SUM(G54-K54)</f>
        <v>-568.67870000000039</v>
      </c>
      <c r="M54" s="173">
        <v>1.56273</v>
      </c>
      <c r="N54" s="293">
        <f>SUM(G54-K54)*M54</f>
        <v>-888.6912648510006</v>
      </c>
      <c r="O54" s="118"/>
    </row>
    <row r="55" spans="1:15" s="119" customFormat="1" ht="15" customHeight="1" x14ac:dyDescent="0.2">
      <c r="A55" s="86" t="s">
        <v>704</v>
      </c>
      <c r="B55" s="86" t="s">
        <v>705</v>
      </c>
      <c r="C55" s="86" t="s">
        <v>78</v>
      </c>
      <c r="D55" s="160">
        <v>40830</v>
      </c>
      <c r="E55" s="161">
        <v>12569</v>
      </c>
      <c r="F55" s="162">
        <v>131.6</v>
      </c>
      <c r="G55" s="196">
        <f t="shared" si="4"/>
        <v>16540.804</v>
      </c>
      <c r="H55" s="118"/>
      <c r="I55" s="160">
        <v>40893</v>
      </c>
      <c r="J55" s="385">
        <v>136.4</v>
      </c>
      <c r="K55" s="186">
        <f t="shared" si="5"/>
        <v>17144.116000000002</v>
      </c>
      <c r="L55" s="183">
        <f>SUM(G55-K55)</f>
        <v>-603.31200000000172</v>
      </c>
      <c r="M55" s="173">
        <v>1.55148</v>
      </c>
      <c r="N55" s="293">
        <f>SUM(G55-K55)*M55</f>
        <v>-936.0265017600027</v>
      </c>
      <c r="O55" s="118"/>
    </row>
    <row r="56" spans="1:15" s="119" customFormat="1" ht="15" customHeight="1" x14ac:dyDescent="0.2">
      <c r="A56" s="84" t="s">
        <v>706</v>
      </c>
      <c r="B56" s="84" t="s">
        <v>707</v>
      </c>
      <c r="C56" s="80" t="s">
        <v>53</v>
      </c>
      <c r="D56" s="144">
        <v>40914</v>
      </c>
      <c r="E56" s="158">
        <v>543</v>
      </c>
      <c r="F56" s="159">
        <v>2372</v>
      </c>
      <c r="G56" s="195">
        <f t="shared" si="4"/>
        <v>12879.96</v>
      </c>
      <c r="H56" s="287"/>
      <c r="I56" s="144">
        <v>40921</v>
      </c>
      <c r="J56" s="383">
        <v>2287</v>
      </c>
      <c r="K56" s="197">
        <f t="shared" si="5"/>
        <v>12418.41</v>
      </c>
      <c r="L56" s="180">
        <f>SUM(K56-G56)</f>
        <v>-461.54999999999927</v>
      </c>
      <c r="M56" s="168">
        <v>1.53322</v>
      </c>
      <c r="N56" s="292">
        <f t="shared" ref="N56:N71" si="6">SUM(K56-G56)*M56</f>
        <v>-707.65769099999886</v>
      </c>
      <c r="O56" s="118"/>
    </row>
    <row r="57" spans="1:15" s="119" customFormat="1" ht="15" customHeight="1" x14ac:dyDescent="0.2">
      <c r="A57" s="84" t="s">
        <v>708</v>
      </c>
      <c r="B57" s="84" t="s">
        <v>709</v>
      </c>
      <c r="C57" s="80" t="s">
        <v>53</v>
      </c>
      <c r="D57" s="144">
        <v>40914</v>
      </c>
      <c r="E57" s="158">
        <v>1184</v>
      </c>
      <c r="F57" s="159">
        <v>1244</v>
      </c>
      <c r="G57" s="195">
        <f t="shared" ref="G57:G82" si="7">SUM(E57*F57)/100</f>
        <v>14728.96</v>
      </c>
      <c r="H57" s="287"/>
      <c r="I57" s="144">
        <v>40928</v>
      </c>
      <c r="J57" s="383">
        <v>1194</v>
      </c>
      <c r="K57" s="197">
        <f t="shared" ref="K57:K82" si="8">SUM(E57*J57)/100</f>
        <v>14136.96</v>
      </c>
      <c r="L57" s="180">
        <f t="shared" ref="L57:L82" si="9">SUM(K57-G57)</f>
        <v>-592</v>
      </c>
      <c r="M57" s="168">
        <v>1.5486599999999999</v>
      </c>
      <c r="N57" s="292">
        <f t="shared" si="6"/>
        <v>-916.80671999999993</v>
      </c>
      <c r="O57" s="118"/>
    </row>
    <row r="58" spans="1:15" s="119" customFormat="1" ht="15" customHeight="1" x14ac:dyDescent="0.2">
      <c r="A58" s="84" t="s">
        <v>710</v>
      </c>
      <c r="B58" s="84" t="s">
        <v>390</v>
      </c>
      <c r="C58" s="80" t="s">
        <v>53</v>
      </c>
      <c r="D58" s="144">
        <v>40914</v>
      </c>
      <c r="E58" s="158">
        <v>2318</v>
      </c>
      <c r="F58" s="159">
        <v>762.3</v>
      </c>
      <c r="G58" s="195">
        <f t="shared" si="7"/>
        <v>17670.113999999998</v>
      </c>
      <c r="H58" s="287"/>
      <c r="I58" s="144">
        <v>40928</v>
      </c>
      <c r="J58" s="383">
        <v>733.7</v>
      </c>
      <c r="K58" s="197">
        <f t="shared" si="8"/>
        <v>17007.166000000001</v>
      </c>
      <c r="L58" s="180">
        <f t="shared" si="9"/>
        <v>-662.94799999999668</v>
      </c>
      <c r="M58" s="168">
        <v>1.5486599999999999</v>
      </c>
      <c r="N58" s="292">
        <f t="shared" si="6"/>
        <v>-1026.6810496799949</v>
      </c>
      <c r="O58" s="118"/>
    </row>
    <row r="59" spans="1:15" s="119" customFormat="1" ht="15" customHeight="1" x14ac:dyDescent="0.2">
      <c r="A59" s="84" t="s">
        <v>711</v>
      </c>
      <c r="B59" s="84" t="s">
        <v>712</v>
      </c>
      <c r="C59" s="80" t="s">
        <v>53</v>
      </c>
      <c r="D59" s="144">
        <v>40907</v>
      </c>
      <c r="E59" s="158">
        <v>8022</v>
      </c>
      <c r="F59" s="159">
        <v>187</v>
      </c>
      <c r="G59" s="195">
        <f t="shared" si="7"/>
        <v>15001.14</v>
      </c>
      <c r="H59" s="287"/>
      <c r="I59" s="144">
        <v>40970</v>
      </c>
      <c r="J59" s="383">
        <v>187.785</v>
      </c>
      <c r="K59" s="197">
        <f t="shared" si="8"/>
        <v>15064.1127</v>
      </c>
      <c r="L59" s="180">
        <f t="shared" si="9"/>
        <v>62.972700000000259</v>
      </c>
      <c r="M59" s="168">
        <v>1.5803199999999999</v>
      </c>
      <c r="N59" s="292">
        <f t="shared" si="6"/>
        <v>99.517017264000401</v>
      </c>
      <c r="O59" s="118"/>
    </row>
    <row r="60" spans="1:15" s="119" customFormat="1" ht="15" customHeight="1" x14ac:dyDescent="0.2">
      <c r="A60" s="84" t="s">
        <v>713</v>
      </c>
      <c r="B60" s="84" t="s">
        <v>714</v>
      </c>
      <c r="C60" s="80" t="s">
        <v>53</v>
      </c>
      <c r="D60" s="144">
        <v>40956</v>
      </c>
      <c r="E60" s="158">
        <v>2255</v>
      </c>
      <c r="F60" s="159">
        <v>1212</v>
      </c>
      <c r="G60" s="195">
        <f t="shared" si="7"/>
        <v>27330.6</v>
      </c>
      <c r="H60" s="287"/>
      <c r="I60" s="144">
        <v>40970</v>
      </c>
      <c r="J60" s="383">
        <v>1182</v>
      </c>
      <c r="K60" s="197">
        <f t="shared" si="8"/>
        <v>26654.1</v>
      </c>
      <c r="L60" s="180">
        <f t="shared" si="9"/>
        <v>-676.5</v>
      </c>
      <c r="M60" s="168">
        <v>1.5831999999999999</v>
      </c>
      <c r="N60" s="292">
        <f t="shared" si="6"/>
        <v>-1071.0347999999999</v>
      </c>
      <c r="O60" s="118"/>
    </row>
    <row r="61" spans="1:15" s="119" customFormat="1" ht="15" customHeight="1" x14ac:dyDescent="0.2">
      <c r="A61" s="84" t="s">
        <v>715</v>
      </c>
      <c r="B61" s="84" t="s">
        <v>716</v>
      </c>
      <c r="C61" s="80" t="s">
        <v>53</v>
      </c>
      <c r="D61" s="144">
        <v>40914</v>
      </c>
      <c r="E61" s="158">
        <v>2883</v>
      </c>
      <c r="F61" s="159">
        <v>281.10000000000002</v>
      </c>
      <c r="G61" s="195">
        <f t="shared" si="7"/>
        <v>8104.1130000000003</v>
      </c>
      <c r="H61" s="287"/>
      <c r="I61" s="144">
        <v>40977</v>
      </c>
      <c r="J61" s="383">
        <v>274.3</v>
      </c>
      <c r="K61" s="197">
        <f t="shared" si="8"/>
        <v>7908.0690000000004</v>
      </c>
      <c r="L61" s="180">
        <f t="shared" si="9"/>
        <v>-196.04399999999987</v>
      </c>
      <c r="M61" s="168">
        <v>1.5829</v>
      </c>
      <c r="N61" s="292">
        <f t="shared" si="6"/>
        <v>-310.31804759999977</v>
      </c>
      <c r="O61" s="118"/>
    </row>
    <row r="62" spans="1:15" s="119" customFormat="1" ht="15" customHeight="1" x14ac:dyDescent="0.2">
      <c r="A62" s="84" t="s">
        <v>717</v>
      </c>
      <c r="B62" s="84" t="s">
        <v>718</v>
      </c>
      <c r="C62" s="80" t="s">
        <v>53</v>
      </c>
      <c r="D62" s="144">
        <v>40914</v>
      </c>
      <c r="E62" s="158">
        <v>3855</v>
      </c>
      <c r="F62" s="159">
        <v>392.7</v>
      </c>
      <c r="G62" s="195">
        <f t="shared" si="7"/>
        <v>15138.584999999999</v>
      </c>
      <c r="H62" s="287"/>
      <c r="I62" s="144">
        <v>40977</v>
      </c>
      <c r="J62" s="383">
        <v>477.8</v>
      </c>
      <c r="K62" s="197">
        <f t="shared" si="8"/>
        <v>18419.189999999999</v>
      </c>
      <c r="L62" s="180">
        <f t="shared" si="9"/>
        <v>3280.6049999999996</v>
      </c>
      <c r="M62" s="168">
        <v>1.5829</v>
      </c>
      <c r="N62" s="292">
        <f t="shared" si="6"/>
        <v>5192.8696544999993</v>
      </c>
      <c r="O62" s="118"/>
    </row>
    <row r="63" spans="1:15" s="119" customFormat="1" ht="15" customHeight="1" x14ac:dyDescent="0.2">
      <c r="A63" s="84" t="s">
        <v>719</v>
      </c>
      <c r="B63" s="84" t="s">
        <v>720</v>
      </c>
      <c r="C63" s="80" t="s">
        <v>53</v>
      </c>
      <c r="D63" s="144">
        <v>40921</v>
      </c>
      <c r="E63" s="158">
        <v>6480</v>
      </c>
      <c r="F63" s="159">
        <v>353.6</v>
      </c>
      <c r="G63" s="195">
        <f t="shared" si="7"/>
        <v>22913.279999999999</v>
      </c>
      <c r="H63" s="287"/>
      <c r="I63" s="144">
        <v>40977</v>
      </c>
      <c r="J63" s="383">
        <v>363.04</v>
      </c>
      <c r="K63" s="197">
        <f t="shared" si="8"/>
        <v>23524.992000000002</v>
      </c>
      <c r="L63" s="180">
        <f t="shared" si="9"/>
        <v>611.71200000000317</v>
      </c>
      <c r="M63" s="168">
        <v>1.5829</v>
      </c>
      <c r="N63" s="292">
        <f t="shared" si="6"/>
        <v>968.27892480000503</v>
      </c>
      <c r="O63" s="118"/>
    </row>
    <row r="64" spans="1:15" s="119" customFormat="1" ht="15" customHeight="1" x14ac:dyDescent="0.2">
      <c r="A64" s="84" t="s">
        <v>721</v>
      </c>
      <c r="B64" s="84" t="s">
        <v>722</v>
      </c>
      <c r="C64" s="80" t="s">
        <v>53</v>
      </c>
      <c r="D64" s="144">
        <v>40921</v>
      </c>
      <c r="E64" s="158">
        <v>5435</v>
      </c>
      <c r="F64" s="159">
        <v>962.2</v>
      </c>
      <c r="G64" s="195">
        <f t="shared" si="7"/>
        <v>52295.57</v>
      </c>
      <c r="H64" s="287"/>
      <c r="I64" s="144">
        <v>40977</v>
      </c>
      <c r="J64" s="383">
        <v>949.8</v>
      </c>
      <c r="K64" s="197">
        <f t="shared" si="8"/>
        <v>51621.63</v>
      </c>
      <c r="L64" s="180">
        <f t="shared" si="9"/>
        <v>-673.94000000000233</v>
      </c>
      <c r="M64" s="168">
        <v>1.5829</v>
      </c>
      <c r="N64" s="292">
        <f t="shared" si="6"/>
        <v>-1066.7796260000036</v>
      </c>
      <c r="O64" s="118"/>
    </row>
    <row r="65" spans="1:15" s="119" customFormat="1" ht="15" customHeight="1" x14ac:dyDescent="0.2">
      <c r="A65" s="84" t="s">
        <v>723</v>
      </c>
      <c r="B65" s="84" t="s">
        <v>724</v>
      </c>
      <c r="C65" s="80" t="s">
        <v>53</v>
      </c>
      <c r="D65" s="144">
        <v>40949</v>
      </c>
      <c r="E65" s="158">
        <v>10918</v>
      </c>
      <c r="F65" s="159">
        <v>201</v>
      </c>
      <c r="G65" s="195">
        <f t="shared" si="7"/>
        <v>21945.18</v>
      </c>
      <c r="H65" s="287"/>
      <c r="I65" s="144">
        <v>40977</v>
      </c>
      <c r="J65" s="383">
        <v>197.8</v>
      </c>
      <c r="K65" s="197">
        <f t="shared" si="8"/>
        <v>21595.804</v>
      </c>
      <c r="L65" s="180">
        <f t="shared" si="9"/>
        <v>-349.3760000000002</v>
      </c>
      <c r="M65" s="168">
        <v>1.5829</v>
      </c>
      <c r="N65" s="292">
        <f t="shared" si="6"/>
        <v>-553.02727040000036</v>
      </c>
      <c r="O65" s="118"/>
    </row>
    <row r="66" spans="1:15" s="119" customFormat="1" ht="15" customHeight="1" x14ac:dyDescent="0.2">
      <c r="A66" s="84" t="s">
        <v>725</v>
      </c>
      <c r="B66" s="84" t="s">
        <v>726</v>
      </c>
      <c r="C66" s="80" t="s">
        <v>53</v>
      </c>
      <c r="D66" s="144">
        <v>40956</v>
      </c>
      <c r="E66" s="158">
        <v>638</v>
      </c>
      <c r="F66" s="159">
        <v>2197</v>
      </c>
      <c r="G66" s="195">
        <f t="shared" si="7"/>
        <v>14016.86</v>
      </c>
      <c r="H66" s="287"/>
      <c r="I66" s="144">
        <v>40977</v>
      </c>
      <c r="J66" s="383">
        <v>2091</v>
      </c>
      <c r="K66" s="197">
        <f t="shared" si="8"/>
        <v>13340.58</v>
      </c>
      <c r="L66" s="180">
        <f t="shared" si="9"/>
        <v>-676.28000000000065</v>
      </c>
      <c r="M66" s="168">
        <v>1.5829</v>
      </c>
      <c r="N66" s="292">
        <f t="shared" si="6"/>
        <v>-1070.4836120000011</v>
      </c>
      <c r="O66" s="118"/>
    </row>
    <row r="67" spans="1:15" s="119" customFormat="1" ht="15" customHeight="1" x14ac:dyDescent="0.2">
      <c r="A67" s="84" t="s">
        <v>727</v>
      </c>
      <c r="B67" s="84" t="s">
        <v>728</v>
      </c>
      <c r="C67" s="80" t="s">
        <v>53</v>
      </c>
      <c r="D67" s="144">
        <v>40970</v>
      </c>
      <c r="E67" s="158">
        <v>3578</v>
      </c>
      <c r="F67" s="159">
        <v>393.6</v>
      </c>
      <c r="G67" s="195">
        <f t="shared" si="7"/>
        <v>14083.008</v>
      </c>
      <c r="H67" s="287"/>
      <c r="I67" s="144">
        <v>40977</v>
      </c>
      <c r="J67" s="383">
        <v>374.6</v>
      </c>
      <c r="K67" s="197">
        <f t="shared" si="8"/>
        <v>13403.188</v>
      </c>
      <c r="L67" s="180">
        <f t="shared" si="9"/>
        <v>-679.81999999999971</v>
      </c>
      <c r="M67" s="168">
        <v>1.5829</v>
      </c>
      <c r="N67" s="292">
        <f t="shared" si="6"/>
        <v>-1076.0870779999996</v>
      </c>
      <c r="O67" s="118"/>
    </row>
    <row r="68" spans="1:15" s="119" customFormat="1" ht="15" customHeight="1" x14ac:dyDescent="0.2">
      <c r="A68" s="84" t="s">
        <v>729</v>
      </c>
      <c r="B68" s="84" t="s">
        <v>730</v>
      </c>
      <c r="C68" s="80" t="s">
        <v>53</v>
      </c>
      <c r="D68" s="144">
        <v>40865</v>
      </c>
      <c r="E68" s="158">
        <v>2734</v>
      </c>
      <c r="F68" s="159">
        <v>366.58</v>
      </c>
      <c r="G68" s="195">
        <f t="shared" si="7"/>
        <v>10022.297199999999</v>
      </c>
      <c r="H68" s="287"/>
      <c r="I68" s="144">
        <v>40991</v>
      </c>
      <c r="J68" s="383">
        <v>440.8</v>
      </c>
      <c r="K68" s="197">
        <f t="shared" si="8"/>
        <v>12051.472</v>
      </c>
      <c r="L68" s="180">
        <f t="shared" si="9"/>
        <v>2029.1748000000007</v>
      </c>
      <c r="M68" s="168">
        <v>1.58199</v>
      </c>
      <c r="N68" s="292">
        <f t="shared" si="6"/>
        <v>3210.1342418520012</v>
      </c>
      <c r="O68" s="118"/>
    </row>
    <row r="69" spans="1:15" s="119" customFormat="1" ht="15" customHeight="1" x14ac:dyDescent="0.2">
      <c r="A69" s="84" t="s">
        <v>731</v>
      </c>
      <c r="B69" s="84" t="s">
        <v>732</v>
      </c>
      <c r="C69" s="80" t="s">
        <v>53</v>
      </c>
      <c r="D69" s="144">
        <v>40942</v>
      </c>
      <c r="E69" s="158">
        <v>6673</v>
      </c>
      <c r="F69" s="159">
        <v>525.6</v>
      </c>
      <c r="G69" s="195">
        <f t="shared" si="7"/>
        <v>35073.288</v>
      </c>
      <c r="H69" s="287"/>
      <c r="I69" s="144">
        <v>40991</v>
      </c>
      <c r="J69" s="383">
        <v>516.29999999999995</v>
      </c>
      <c r="K69" s="197">
        <f t="shared" si="8"/>
        <v>34452.699000000001</v>
      </c>
      <c r="L69" s="180">
        <f t="shared" si="9"/>
        <v>-620.58899999999994</v>
      </c>
      <c r="M69" s="168">
        <v>1.58199</v>
      </c>
      <c r="N69" s="292">
        <f t="shared" si="6"/>
        <v>-981.76559210999994</v>
      </c>
      <c r="O69" s="118"/>
    </row>
    <row r="70" spans="1:15" s="119" customFormat="1" ht="15" customHeight="1" x14ac:dyDescent="0.2">
      <c r="A70" s="84" t="s">
        <v>733</v>
      </c>
      <c r="B70" s="84" t="s">
        <v>734</v>
      </c>
      <c r="C70" s="80" t="s">
        <v>53</v>
      </c>
      <c r="D70" s="144">
        <v>40991</v>
      </c>
      <c r="E70" s="158">
        <v>3917</v>
      </c>
      <c r="F70" s="159">
        <v>409</v>
      </c>
      <c r="G70" s="195">
        <f t="shared" si="7"/>
        <v>16020.53</v>
      </c>
      <c r="H70" s="287"/>
      <c r="I70" s="144">
        <v>40991</v>
      </c>
      <c r="J70" s="383">
        <v>392.8</v>
      </c>
      <c r="K70" s="197">
        <f t="shared" si="8"/>
        <v>15385.976000000001</v>
      </c>
      <c r="L70" s="180">
        <f t="shared" si="9"/>
        <v>-634.55400000000009</v>
      </c>
      <c r="M70" s="168">
        <v>1.58199</v>
      </c>
      <c r="N70" s="292">
        <f t="shared" si="6"/>
        <v>-1003.8580824600001</v>
      </c>
      <c r="O70" s="118"/>
    </row>
    <row r="71" spans="1:15" s="119" customFormat="1" ht="15" customHeight="1" x14ac:dyDescent="0.2">
      <c r="A71" s="84" t="s">
        <v>735</v>
      </c>
      <c r="B71" s="84" t="s">
        <v>736</v>
      </c>
      <c r="C71" s="80" t="s">
        <v>53</v>
      </c>
      <c r="D71" s="144">
        <v>40991</v>
      </c>
      <c r="E71" s="158">
        <v>4270</v>
      </c>
      <c r="F71" s="159">
        <v>999.5</v>
      </c>
      <c r="G71" s="195">
        <f t="shared" si="7"/>
        <v>42678.65</v>
      </c>
      <c r="H71" s="287"/>
      <c r="I71" s="144">
        <v>40991</v>
      </c>
      <c r="J71" s="383">
        <v>984.6</v>
      </c>
      <c r="K71" s="197">
        <f t="shared" si="8"/>
        <v>42042.42</v>
      </c>
      <c r="L71" s="180">
        <f t="shared" si="9"/>
        <v>-636.2300000000032</v>
      </c>
      <c r="M71" s="168">
        <v>1.58199</v>
      </c>
      <c r="N71" s="292">
        <f t="shared" si="6"/>
        <v>-1006.5094977000051</v>
      </c>
      <c r="O71" s="118"/>
    </row>
    <row r="72" spans="1:15" s="119" customFormat="1" ht="15" customHeight="1" x14ac:dyDescent="0.2">
      <c r="A72" s="84" t="s">
        <v>737</v>
      </c>
      <c r="B72" s="84" t="s">
        <v>738</v>
      </c>
      <c r="C72" s="80" t="s">
        <v>53</v>
      </c>
      <c r="D72" s="144">
        <v>40991</v>
      </c>
      <c r="E72" s="158">
        <v>5302</v>
      </c>
      <c r="F72" s="159">
        <v>659</v>
      </c>
      <c r="G72" s="195">
        <f t="shared" si="7"/>
        <v>34940.18</v>
      </c>
      <c r="H72" s="287"/>
      <c r="I72" s="144">
        <v>40991</v>
      </c>
      <c r="J72" s="383">
        <v>647</v>
      </c>
      <c r="K72" s="197">
        <f t="shared" si="8"/>
        <v>34303.94</v>
      </c>
      <c r="L72" s="180">
        <f t="shared" si="9"/>
        <v>-636.23999999999796</v>
      </c>
      <c r="M72" s="168">
        <v>1.58199</v>
      </c>
      <c r="N72" s="292">
        <f>SUM(K72-G72)*M72</f>
        <v>-1006.5253175999968</v>
      </c>
      <c r="O72" s="118"/>
    </row>
    <row r="73" spans="1:15" s="119" customFormat="1" ht="15" customHeight="1" x14ac:dyDescent="0.2">
      <c r="A73" s="84" t="s">
        <v>739</v>
      </c>
      <c r="B73" s="84" t="s">
        <v>740</v>
      </c>
      <c r="C73" s="80" t="s">
        <v>53</v>
      </c>
      <c r="D73" s="144">
        <v>40991</v>
      </c>
      <c r="E73" s="158">
        <v>1272</v>
      </c>
      <c r="F73" s="159">
        <v>1156</v>
      </c>
      <c r="G73" s="195">
        <f t="shared" si="7"/>
        <v>14704.32</v>
      </c>
      <c r="H73" s="287"/>
      <c r="I73" s="144">
        <v>40998</v>
      </c>
      <c r="J73" s="383">
        <v>1106</v>
      </c>
      <c r="K73" s="197">
        <f t="shared" si="8"/>
        <v>14068.32</v>
      </c>
      <c r="L73" s="180">
        <f t="shared" si="9"/>
        <v>-636</v>
      </c>
      <c r="M73" s="168">
        <v>1.59555</v>
      </c>
      <c r="N73" s="292">
        <f t="shared" ref="N73:N80" si="10">SUM(K73-G73)*M73</f>
        <v>-1014.7698</v>
      </c>
      <c r="O73" s="118"/>
    </row>
    <row r="74" spans="1:15" s="119" customFormat="1" ht="15" customHeight="1" x14ac:dyDescent="0.2">
      <c r="A74" s="84" t="s">
        <v>741</v>
      </c>
      <c r="B74" s="84" t="s">
        <v>742</v>
      </c>
      <c r="C74" s="80" t="s">
        <v>53</v>
      </c>
      <c r="D74" s="144">
        <v>40991</v>
      </c>
      <c r="E74" s="158">
        <v>6492</v>
      </c>
      <c r="F74" s="159">
        <v>423.9</v>
      </c>
      <c r="G74" s="195">
        <f t="shared" si="7"/>
        <v>27519.588</v>
      </c>
      <c r="H74" s="287"/>
      <c r="I74" s="144">
        <v>40998</v>
      </c>
      <c r="J74" s="383">
        <v>414.1</v>
      </c>
      <c r="K74" s="197">
        <f t="shared" si="8"/>
        <v>26883.372000000003</v>
      </c>
      <c r="L74" s="180">
        <f t="shared" si="9"/>
        <v>-636.21599999999671</v>
      </c>
      <c r="M74" s="168">
        <v>1.59555</v>
      </c>
      <c r="N74" s="292">
        <f t="shared" si="10"/>
        <v>-1015.1144387999948</v>
      </c>
      <c r="O74" s="118"/>
    </row>
    <row r="75" spans="1:15" s="119" customFormat="1" ht="15" customHeight="1" x14ac:dyDescent="0.2">
      <c r="A75" s="84" t="s">
        <v>743</v>
      </c>
      <c r="B75" s="84" t="s">
        <v>744</v>
      </c>
      <c r="C75" s="80" t="s">
        <v>53</v>
      </c>
      <c r="D75" s="144">
        <v>40991</v>
      </c>
      <c r="E75" s="158">
        <v>5215</v>
      </c>
      <c r="F75" s="159">
        <v>501</v>
      </c>
      <c r="G75" s="195">
        <f t="shared" si="7"/>
        <v>26127.15</v>
      </c>
      <c r="H75" s="287"/>
      <c r="I75" s="144">
        <v>40998</v>
      </c>
      <c r="J75" s="383">
        <v>488.8</v>
      </c>
      <c r="K75" s="197">
        <f t="shared" si="8"/>
        <v>25490.92</v>
      </c>
      <c r="L75" s="180">
        <f t="shared" si="9"/>
        <v>-636.2300000000032</v>
      </c>
      <c r="M75" s="168">
        <v>1.59555</v>
      </c>
      <c r="N75" s="292">
        <f t="shared" si="10"/>
        <v>-1015.1367765000051</v>
      </c>
      <c r="O75" s="118"/>
    </row>
    <row r="76" spans="1:15" s="119" customFormat="1" ht="15" customHeight="1" x14ac:dyDescent="0.2">
      <c r="A76" s="84" t="s">
        <v>745</v>
      </c>
      <c r="B76" s="84" t="s">
        <v>746</v>
      </c>
      <c r="C76" s="80" t="s">
        <v>53</v>
      </c>
      <c r="D76" s="144">
        <v>40963</v>
      </c>
      <c r="E76" s="158">
        <v>6604</v>
      </c>
      <c r="F76" s="159">
        <v>125.7</v>
      </c>
      <c r="G76" s="195">
        <f t="shared" si="7"/>
        <v>8301.228000000001</v>
      </c>
      <c r="H76" s="287"/>
      <c r="I76" s="144">
        <v>41005</v>
      </c>
      <c r="J76" s="383">
        <v>134.27000000000001</v>
      </c>
      <c r="K76" s="197">
        <f t="shared" si="8"/>
        <v>8867.1908000000003</v>
      </c>
      <c r="L76" s="180">
        <f t="shared" si="9"/>
        <v>565.96279999999933</v>
      </c>
      <c r="M76" s="168">
        <v>1.5826899999999999</v>
      </c>
      <c r="N76" s="292">
        <f t="shared" si="10"/>
        <v>895.74366393199887</v>
      </c>
      <c r="O76" s="118"/>
    </row>
    <row r="77" spans="1:15" s="119" customFormat="1" ht="15" customHeight="1" x14ac:dyDescent="0.2">
      <c r="A77" s="84" t="s">
        <v>747</v>
      </c>
      <c r="B77" s="84" t="s">
        <v>748</v>
      </c>
      <c r="C77" s="80" t="s">
        <v>53</v>
      </c>
      <c r="D77" s="144">
        <v>41019</v>
      </c>
      <c r="E77" s="158">
        <v>15321</v>
      </c>
      <c r="F77" s="159">
        <v>126</v>
      </c>
      <c r="G77" s="195">
        <f t="shared" si="7"/>
        <v>19304.46</v>
      </c>
      <c r="H77" s="287"/>
      <c r="I77" s="144">
        <v>41033</v>
      </c>
      <c r="J77" s="383">
        <v>124.6</v>
      </c>
      <c r="K77" s="197">
        <f t="shared" si="8"/>
        <v>19089.966</v>
      </c>
      <c r="L77" s="180">
        <f t="shared" si="9"/>
        <v>-214.49399999999878</v>
      </c>
      <c r="M77" s="168">
        <v>1.61757</v>
      </c>
      <c r="N77" s="292">
        <f t="shared" si="10"/>
        <v>-346.95905957999804</v>
      </c>
      <c r="O77" s="118"/>
    </row>
    <row r="78" spans="1:15" s="119" customFormat="1" ht="15" customHeight="1" x14ac:dyDescent="0.2">
      <c r="A78" s="84" t="s">
        <v>710</v>
      </c>
      <c r="B78" s="84" t="s">
        <v>390</v>
      </c>
      <c r="C78" s="80" t="s">
        <v>53</v>
      </c>
      <c r="D78" s="144">
        <v>41033</v>
      </c>
      <c r="E78" s="158">
        <v>3292</v>
      </c>
      <c r="F78" s="159">
        <v>859.6</v>
      </c>
      <c r="G78" s="195">
        <f t="shared" si="7"/>
        <v>28298.032000000003</v>
      </c>
      <c r="H78" s="287"/>
      <c r="I78" s="144">
        <v>41033</v>
      </c>
      <c r="J78" s="383">
        <v>840.4</v>
      </c>
      <c r="K78" s="197">
        <f t="shared" si="8"/>
        <v>27665.967999999997</v>
      </c>
      <c r="L78" s="180">
        <f t="shared" si="9"/>
        <v>-632.06400000000576</v>
      </c>
      <c r="M78" s="168">
        <v>1.61757</v>
      </c>
      <c r="N78" s="292">
        <f t="shared" si="10"/>
        <v>-1022.4077644800093</v>
      </c>
      <c r="O78" s="118"/>
    </row>
    <row r="79" spans="1:15" s="119" customFormat="1" ht="15" customHeight="1" x14ac:dyDescent="0.2">
      <c r="A79" s="84" t="s">
        <v>749</v>
      </c>
      <c r="B79" s="84" t="s">
        <v>750</v>
      </c>
      <c r="C79" s="80" t="s">
        <v>53</v>
      </c>
      <c r="D79" s="144">
        <v>40949</v>
      </c>
      <c r="E79" s="158">
        <v>14716</v>
      </c>
      <c r="F79" s="159">
        <v>140.69999999999999</v>
      </c>
      <c r="G79" s="195">
        <f t="shared" si="7"/>
        <v>20705.411999999997</v>
      </c>
      <c r="H79" s="287"/>
      <c r="I79" s="144">
        <v>41040</v>
      </c>
      <c r="J79" s="383">
        <v>145</v>
      </c>
      <c r="K79" s="197">
        <f t="shared" si="8"/>
        <v>21338.2</v>
      </c>
      <c r="L79" s="180">
        <f t="shared" si="9"/>
        <v>632.7880000000041</v>
      </c>
      <c r="M79" s="168">
        <v>1.61425</v>
      </c>
      <c r="N79" s="292">
        <f t="shared" si="10"/>
        <v>1021.4780290000066</v>
      </c>
      <c r="O79" s="118"/>
    </row>
    <row r="80" spans="1:15" s="119" customFormat="1" ht="15" customHeight="1" x14ac:dyDescent="0.2">
      <c r="A80" s="84" t="s">
        <v>751</v>
      </c>
      <c r="B80" s="84" t="s">
        <v>752</v>
      </c>
      <c r="C80" s="80" t="s">
        <v>53</v>
      </c>
      <c r="D80" s="144">
        <v>40977</v>
      </c>
      <c r="E80" s="158">
        <v>975</v>
      </c>
      <c r="F80" s="159">
        <v>1644</v>
      </c>
      <c r="G80" s="195">
        <f t="shared" si="7"/>
        <v>16029</v>
      </c>
      <c r="H80" s="287"/>
      <c r="I80" s="144">
        <v>41040</v>
      </c>
      <c r="J80" s="383">
        <v>1639</v>
      </c>
      <c r="K80" s="197">
        <f t="shared" si="8"/>
        <v>15980.25</v>
      </c>
      <c r="L80" s="180">
        <f t="shared" si="9"/>
        <v>-48.75</v>
      </c>
      <c r="M80" s="168">
        <v>1.61425</v>
      </c>
      <c r="N80" s="292">
        <f t="shared" si="10"/>
        <v>-78.694687500000001</v>
      </c>
      <c r="O80" s="118"/>
    </row>
    <row r="81" spans="1:15" s="119" customFormat="1" ht="15" customHeight="1" x14ac:dyDescent="0.2">
      <c r="A81" s="86" t="s">
        <v>753</v>
      </c>
      <c r="B81" s="86" t="s">
        <v>754</v>
      </c>
      <c r="C81" s="86" t="s">
        <v>78</v>
      </c>
      <c r="D81" s="160">
        <v>40956</v>
      </c>
      <c r="E81" s="161">
        <v>3487</v>
      </c>
      <c r="F81" s="162">
        <v>291.5</v>
      </c>
      <c r="G81" s="196">
        <f>SUM(E81*F81)/100</f>
        <v>10164.605</v>
      </c>
      <c r="H81" s="118"/>
      <c r="I81" s="160">
        <v>41054</v>
      </c>
      <c r="J81" s="385">
        <v>210.1</v>
      </c>
      <c r="K81" s="186">
        <f>SUM(E81*J81)/100</f>
        <v>7326.1869999999999</v>
      </c>
      <c r="L81" s="180">
        <f>SUM(G81-K81)</f>
        <v>2838.4179999999997</v>
      </c>
      <c r="M81" s="173">
        <v>1.5668</v>
      </c>
      <c r="N81" s="292">
        <f>SUM(G81-K81)*M81</f>
        <v>4447.2333223999995</v>
      </c>
      <c r="O81" s="118"/>
    </row>
    <row r="82" spans="1:15" s="119" customFormat="1" ht="15" customHeight="1" x14ac:dyDescent="0.2">
      <c r="A82" s="84" t="s">
        <v>755</v>
      </c>
      <c r="B82" s="84" t="s">
        <v>756</v>
      </c>
      <c r="C82" s="80" t="s">
        <v>53</v>
      </c>
      <c r="D82" s="144">
        <v>41047</v>
      </c>
      <c r="E82" s="158">
        <v>1349</v>
      </c>
      <c r="F82" s="159">
        <v>1018</v>
      </c>
      <c r="G82" s="195">
        <f t="shared" si="7"/>
        <v>13732.82</v>
      </c>
      <c r="H82" s="287"/>
      <c r="I82" s="144">
        <v>41061</v>
      </c>
      <c r="J82" s="383">
        <v>971.9</v>
      </c>
      <c r="K82" s="197">
        <f t="shared" si="8"/>
        <v>13110.930999999999</v>
      </c>
      <c r="L82" s="180">
        <f t="shared" si="9"/>
        <v>-621.88900000000103</v>
      </c>
      <c r="M82" s="168">
        <v>1.5403500000000001</v>
      </c>
      <c r="N82" s="292">
        <f>SUM(K82-G82)*M82</f>
        <v>-957.92672115000164</v>
      </c>
      <c r="O82" s="118"/>
    </row>
    <row r="83" spans="1:15" s="119" customFormat="1" ht="15" customHeight="1" x14ac:dyDescent="0.2">
      <c r="A83" s="86" t="s">
        <v>757</v>
      </c>
      <c r="B83" s="86" t="s">
        <v>758</v>
      </c>
      <c r="C83" s="86" t="s">
        <v>78</v>
      </c>
      <c r="D83" s="160">
        <v>41075</v>
      </c>
      <c r="E83" s="161">
        <v>11789</v>
      </c>
      <c r="F83" s="162">
        <v>70.28</v>
      </c>
      <c r="G83" s="196">
        <f>SUM(E83*F83)/100</f>
        <v>8285.3091999999997</v>
      </c>
      <c r="H83" s="118"/>
      <c r="I83" s="160">
        <v>41082</v>
      </c>
      <c r="J83" s="385">
        <v>75.72</v>
      </c>
      <c r="K83" s="186">
        <f>SUM(E83*J83)/100</f>
        <v>8926.630799999999</v>
      </c>
      <c r="L83" s="183">
        <f>SUM(G83-K83)</f>
        <v>-641.32159999999931</v>
      </c>
      <c r="M83" s="173">
        <v>1.5589299999999999</v>
      </c>
      <c r="N83" s="293">
        <f>SUM(G83-K83)*M83</f>
        <v>-999.77548188799892</v>
      </c>
      <c r="O83" s="118"/>
    </row>
    <row r="84" spans="1:15" s="119" customFormat="1" ht="15" customHeight="1" x14ac:dyDescent="0.2">
      <c r="A84" s="86" t="s">
        <v>759</v>
      </c>
      <c r="B84" s="86" t="s">
        <v>760</v>
      </c>
      <c r="C84" s="86" t="s">
        <v>78</v>
      </c>
      <c r="D84" s="160">
        <v>41054</v>
      </c>
      <c r="E84" s="161">
        <v>11890</v>
      </c>
      <c r="F84" s="162">
        <v>78.83</v>
      </c>
      <c r="G84" s="196">
        <f>SUM(E84*F84)/100</f>
        <v>9372.8869999999988</v>
      </c>
      <c r="H84" s="118"/>
      <c r="I84" s="160">
        <v>41117</v>
      </c>
      <c r="J84" s="385">
        <v>78.010000000000005</v>
      </c>
      <c r="K84" s="186">
        <f>SUM(E84*J84)/100</f>
        <v>9275.389000000001</v>
      </c>
      <c r="L84" s="180">
        <f>SUM(G84-K84)</f>
        <v>97.497999999997774</v>
      </c>
      <c r="M84" s="173">
        <v>1.5685100000000001</v>
      </c>
      <c r="N84" s="292">
        <f>SUM(G84-K84)*M84</f>
        <v>152.92658797999653</v>
      </c>
      <c r="O84" s="118"/>
    </row>
    <row r="85" spans="1:15" s="119" customFormat="1" ht="15" customHeight="1" x14ac:dyDescent="0.2">
      <c r="A85" s="84" t="s">
        <v>761</v>
      </c>
      <c r="B85" s="84" t="s">
        <v>406</v>
      </c>
      <c r="C85" s="80" t="s">
        <v>53</v>
      </c>
      <c r="D85" s="144">
        <v>41075</v>
      </c>
      <c r="E85" s="158">
        <v>628</v>
      </c>
      <c r="F85" s="159">
        <v>2141</v>
      </c>
      <c r="G85" s="195">
        <f>SUM(E85*F85)/100</f>
        <v>13445.48</v>
      </c>
      <c r="H85" s="287"/>
      <c r="I85" s="144">
        <v>41117</v>
      </c>
      <c r="J85" s="383">
        <v>2093.3000000000002</v>
      </c>
      <c r="K85" s="197">
        <f>SUM(E85*J85)/100</f>
        <v>13145.924000000001</v>
      </c>
      <c r="L85" s="180">
        <f>SUM(K85-G85)</f>
        <v>-299.55599999999868</v>
      </c>
      <c r="M85" s="168">
        <v>1.5685100000000001</v>
      </c>
      <c r="N85" s="292">
        <f>SUM(K85-G85)*M85</f>
        <v>-469.85658155999795</v>
      </c>
      <c r="O85" s="118"/>
    </row>
    <row r="86" spans="1:15" s="119" customFormat="1" ht="15" customHeight="1" x14ac:dyDescent="0.2">
      <c r="A86" s="86" t="s">
        <v>762</v>
      </c>
      <c r="B86" s="86" t="s">
        <v>763</v>
      </c>
      <c r="C86" s="86" t="s">
        <v>78</v>
      </c>
      <c r="D86" s="160">
        <v>41117</v>
      </c>
      <c r="E86" s="161">
        <v>8059</v>
      </c>
      <c r="F86" s="162">
        <v>90.72</v>
      </c>
      <c r="G86" s="196">
        <f>SUM(E86*F86)/100</f>
        <v>7311.1247999999996</v>
      </c>
      <c r="H86" s="118"/>
      <c r="I86" s="160">
        <v>41117</v>
      </c>
      <c r="J86" s="385">
        <v>98.98</v>
      </c>
      <c r="K86" s="186">
        <f>SUM(E86*J86)/100</f>
        <v>7976.7982000000011</v>
      </c>
      <c r="L86" s="183">
        <f>SUM(G86-K86)</f>
        <v>-665.67340000000149</v>
      </c>
      <c r="M86" s="168">
        <v>1.5685100000000001</v>
      </c>
      <c r="N86" s="293">
        <f>SUM(G86-K86)*M86</f>
        <v>-1044.1153846340023</v>
      </c>
      <c r="O86" s="118"/>
    </row>
    <row r="87" spans="1:15" s="119" customFormat="1" ht="15" customHeight="1" x14ac:dyDescent="0.2">
      <c r="A87" s="86" t="s">
        <v>764</v>
      </c>
      <c r="B87" s="86" t="s">
        <v>765</v>
      </c>
      <c r="C87" s="86" t="s">
        <v>78</v>
      </c>
      <c r="D87" s="160">
        <v>41061</v>
      </c>
      <c r="E87" s="161">
        <v>4263</v>
      </c>
      <c r="F87" s="162">
        <v>261.60000000000002</v>
      </c>
      <c r="G87" s="196">
        <f>SUM(E87*F87)/100</f>
        <v>11152.008</v>
      </c>
      <c r="H87" s="118"/>
      <c r="I87" s="160">
        <v>41131</v>
      </c>
      <c r="J87" s="385">
        <v>217.9</v>
      </c>
      <c r="K87" s="186">
        <f>SUM(E87*J87)/100</f>
        <v>9289.0770000000011</v>
      </c>
      <c r="L87" s="180">
        <f>SUM(G87-K87)</f>
        <v>1862.9309999999987</v>
      </c>
      <c r="M87" s="173">
        <v>1.56389</v>
      </c>
      <c r="N87" s="292">
        <f>SUM(G87-K87)*M87</f>
        <v>2913.4191615899981</v>
      </c>
      <c r="O87" s="118"/>
    </row>
    <row r="88" spans="1:15" s="119" customFormat="1" ht="15" customHeight="1" x14ac:dyDescent="0.2">
      <c r="A88" s="84" t="s">
        <v>766</v>
      </c>
      <c r="B88" s="84" t="s">
        <v>767</v>
      </c>
      <c r="C88" s="80" t="s">
        <v>53</v>
      </c>
      <c r="D88" s="144">
        <v>41082</v>
      </c>
      <c r="E88" s="158">
        <v>2525</v>
      </c>
      <c r="F88" s="159">
        <v>763.8</v>
      </c>
      <c r="G88" s="195">
        <f t="shared" ref="G88:G97" si="11">SUM(E88*F88)/100</f>
        <v>19285.95</v>
      </c>
      <c r="H88" s="287"/>
      <c r="I88" s="144">
        <v>41131</v>
      </c>
      <c r="J88" s="383">
        <v>738.2</v>
      </c>
      <c r="K88" s="197">
        <f t="shared" ref="K88:K97" si="12">SUM(E88*J88)/100</f>
        <v>18639.55</v>
      </c>
      <c r="L88" s="180">
        <f t="shared" ref="L88:L104" si="13">SUM(K88-G88)</f>
        <v>-646.40000000000146</v>
      </c>
      <c r="M88" s="168">
        <v>1.56389</v>
      </c>
      <c r="N88" s="292">
        <f t="shared" ref="N88:N97" si="14">SUM(K88-G88)*M88</f>
        <v>-1010.8984960000023</v>
      </c>
      <c r="O88" s="118"/>
    </row>
    <row r="89" spans="1:15" s="119" customFormat="1" ht="15" customHeight="1" x14ac:dyDescent="0.2">
      <c r="A89" s="84" t="s">
        <v>768</v>
      </c>
      <c r="B89" s="84" t="s">
        <v>769</v>
      </c>
      <c r="C89" s="80" t="s">
        <v>53</v>
      </c>
      <c r="D89" s="144">
        <v>41075</v>
      </c>
      <c r="E89" s="158">
        <v>801</v>
      </c>
      <c r="F89" s="159">
        <v>1829</v>
      </c>
      <c r="G89" s="195">
        <f t="shared" si="11"/>
        <v>14650.29</v>
      </c>
      <c r="H89" s="287"/>
      <c r="I89" s="144">
        <v>41145</v>
      </c>
      <c r="J89" s="383">
        <v>1941</v>
      </c>
      <c r="K89" s="197">
        <f t="shared" si="12"/>
        <v>15547.41</v>
      </c>
      <c r="L89" s="180">
        <f t="shared" si="13"/>
        <v>897.11999999999898</v>
      </c>
      <c r="M89" s="168">
        <v>1.5860300000000001</v>
      </c>
      <c r="N89" s="292">
        <f t="shared" si="14"/>
        <v>1422.8592335999983</v>
      </c>
      <c r="O89" s="118"/>
    </row>
    <row r="90" spans="1:15" s="119" customFormat="1" ht="15" customHeight="1" x14ac:dyDescent="0.2">
      <c r="A90" s="84" t="s">
        <v>735</v>
      </c>
      <c r="B90" s="84" t="s">
        <v>736</v>
      </c>
      <c r="C90" s="80" t="s">
        <v>53</v>
      </c>
      <c r="D90" s="144">
        <v>41127</v>
      </c>
      <c r="E90" s="158">
        <v>2341</v>
      </c>
      <c r="F90" s="159">
        <v>1009.8</v>
      </c>
      <c r="G90" s="195">
        <f t="shared" si="11"/>
        <v>23639.417999999998</v>
      </c>
      <c r="H90" s="287"/>
      <c r="I90" s="144">
        <v>41145</v>
      </c>
      <c r="J90" s="383">
        <v>999.8</v>
      </c>
      <c r="K90" s="197">
        <f t="shared" si="12"/>
        <v>23405.317999999999</v>
      </c>
      <c r="L90" s="180">
        <f t="shared" si="13"/>
        <v>-234.09999999999854</v>
      </c>
      <c r="M90" s="168">
        <v>1.5860300000000001</v>
      </c>
      <c r="N90" s="292">
        <f t="shared" si="14"/>
        <v>-371.28962299999773</v>
      </c>
      <c r="O90" s="118"/>
    </row>
    <row r="91" spans="1:15" s="119" customFormat="1" ht="15" customHeight="1" x14ac:dyDescent="0.2">
      <c r="A91" s="84" t="s">
        <v>770</v>
      </c>
      <c r="B91" s="84" t="s">
        <v>771</v>
      </c>
      <c r="C91" s="80" t="s">
        <v>53</v>
      </c>
      <c r="D91" s="144">
        <v>41075</v>
      </c>
      <c r="E91" s="158">
        <v>572</v>
      </c>
      <c r="F91" s="159">
        <v>3088</v>
      </c>
      <c r="G91" s="195">
        <f t="shared" si="11"/>
        <v>17663.36</v>
      </c>
      <c r="H91" s="287"/>
      <c r="I91" s="144">
        <v>41165</v>
      </c>
      <c r="J91" s="383">
        <v>3468</v>
      </c>
      <c r="K91" s="197">
        <f t="shared" si="12"/>
        <v>19836.96</v>
      </c>
      <c r="L91" s="180">
        <f t="shared" si="13"/>
        <v>2173.5999999999985</v>
      </c>
      <c r="M91" s="168">
        <v>1.61042</v>
      </c>
      <c r="N91" s="292">
        <f t="shared" si="14"/>
        <v>3500.4089119999976</v>
      </c>
      <c r="O91" s="118"/>
    </row>
    <row r="92" spans="1:15" s="119" customFormat="1" ht="15" customHeight="1" x14ac:dyDescent="0.2">
      <c r="A92" s="84" t="s">
        <v>747</v>
      </c>
      <c r="B92" s="84" t="s">
        <v>772</v>
      </c>
      <c r="C92" s="80" t="s">
        <v>53</v>
      </c>
      <c r="D92" s="144">
        <v>41145</v>
      </c>
      <c r="E92" s="158">
        <v>12300</v>
      </c>
      <c r="F92" s="159">
        <v>125.2</v>
      </c>
      <c r="G92" s="195">
        <f t="shared" si="11"/>
        <v>15399.6</v>
      </c>
      <c r="H92" s="287"/>
      <c r="I92" s="144">
        <v>41165</v>
      </c>
      <c r="J92" s="383">
        <v>124.4</v>
      </c>
      <c r="K92" s="197">
        <f t="shared" si="12"/>
        <v>15301.2</v>
      </c>
      <c r="L92" s="180">
        <f t="shared" si="13"/>
        <v>-98.399999999999636</v>
      </c>
      <c r="M92" s="168">
        <v>1.61042</v>
      </c>
      <c r="N92" s="292">
        <f t="shared" si="14"/>
        <v>-158.4653279999994</v>
      </c>
      <c r="O92" s="118"/>
    </row>
    <row r="93" spans="1:15" s="119" customFormat="1" ht="15" customHeight="1" x14ac:dyDescent="0.2">
      <c r="A93" s="84" t="s">
        <v>713</v>
      </c>
      <c r="B93" s="84" t="s">
        <v>714</v>
      </c>
      <c r="C93" s="80" t="s">
        <v>53</v>
      </c>
      <c r="D93" s="144">
        <v>41145</v>
      </c>
      <c r="E93" s="158">
        <v>1566</v>
      </c>
      <c r="F93" s="159">
        <v>1319.5</v>
      </c>
      <c r="G93" s="195">
        <f t="shared" si="11"/>
        <v>20663.37</v>
      </c>
      <c r="H93" s="287"/>
      <c r="I93" s="144">
        <v>41165</v>
      </c>
      <c r="J93" s="383">
        <v>1279</v>
      </c>
      <c r="K93" s="197">
        <f t="shared" si="12"/>
        <v>20029.14</v>
      </c>
      <c r="L93" s="180">
        <f t="shared" si="13"/>
        <v>-634.22999999999956</v>
      </c>
      <c r="M93" s="168">
        <v>1.61042</v>
      </c>
      <c r="N93" s="292">
        <f t="shared" si="14"/>
        <v>-1021.3766765999993</v>
      </c>
      <c r="O93" s="118"/>
    </row>
    <row r="94" spans="1:15" s="119" customFormat="1" ht="15" customHeight="1" x14ac:dyDescent="0.2">
      <c r="A94" s="84" t="s">
        <v>773</v>
      </c>
      <c r="B94" s="84" t="s">
        <v>774</v>
      </c>
      <c r="C94" s="80" t="s">
        <v>53</v>
      </c>
      <c r="D94" s="144">
        <v>41131</v>
      </c>
      <c r="E94" s="158">
        <v>936</v>
      </c>
      <c r="F94" s="159">
        <v>1482</v>
      </c>
      <c r="G94" s="195">
        <f t="shared" si="11"/>
        <v>13871.52</v>
      </c>
      <c r="H94" s="287"/>
      <c r="I94" s="144">
        <v>41180</v>
      </c>
      <c r="J94" s="383">
        <v>1410</v>
      </c>
      <c r="K94" s="197">
        <f t="shared" si="12"/>
        <v>13197.6</v>
      </c>
      <c r="L94" s="180">
        <f t="shared" si="13"/>
        <v>-673.92000000000007</v>
      </c>
      <c r="M94" s="168">
        <v>1.62351</v>
      </c>
      <c r="N94" s="292">
        <f t="shared" si="14"/>
        <v>-1094.1158592000002</v>
      </c>
      <c r="O94" s="118"/>
    </row>
    <row r="95" spans="1:15" s="119" customFormat="1" ht="15" customHeight="1" x14ac:dyDescent="0.2">
      <c r="A95" s="84" t="s">
        <v>775</v>
      </c>
      <c r="B95" s="84" t="s">
        <v>776</v>
      </c>
      <c r="C95" s="80" t="s">
        <v>53</v>
      </c>
      <c r="D95" s="144">
        <v>41131</v>
      </c>
      <c r="E95" s="158">
        <v>2594</v>
      </c>
      <c r="F95" s="159">
        <v>538</v>
      </c>
      <c r="G95" s="195">
        <f t="shared" si="11"/>
        <v>13955.72</v>
      </c>
      <c r="H95" s="287"/>
      <c r="I95" s="144">
        <v>41180</v>
      </c>
      <c r="J95" s="383">
        <v>525.79999999999995</v>
      </c>
      <c r="K95" s="197">
        <f t="shared" si="12"/>
        <v>13639.252</v>
      </c>
      <c r="L95" s="180">
        <f t="shared" si="13"/>
        <v>-316.46799999999894</v>
      </c>
      <c r="M95" s="168">
        <v>1.62351</v>
      </c>
      <c r="N95" s="292">
        <f t="shared" si="14"/>
        <v>-513.78896267999824</v>
      </c>
      <c r="O95" s="118"/>
    </row>
    <row r="96" spans="1:15" s="119" customFormat="1" ht="15" customHeight="1" x14ac:dyDescent="0.2">
      <c r="A96" s="84" t="s">
        <v>777</v>
      </c>
      <c r="B96" s="84" t="s">
        <v>778</v>
      </c>
      <c r="C96" s="80" t="s">
        <v>53</v>
      </c>
      <c r="D96" s="144">
        <v>41159</v>
      </c>
      <c r="E96" s="158">
        <v>5404</v>
      </c>
      <c r="F96" s="159">
        <v>329.7</v>
      </c>
      <c r="G96" s="195">
        <f t="shared" si="11"/>
        <v>17816.988000000001</v>
      </c>
      <c r="H96" s="287"/>
      <c r="I96" s="144">
        <v>41180</v>
      </c>
      <c r="J96" s="383">
        <v>317.7</v>
      </c>
      <c r="K96" s="197">
        <f t="shared" si="12"/>
        <v>17168.508000000002</v>
      </c>
      <c r="L96" s="180">
        <f t="shared" si="13"/>
        <v>-648.47999999999956</v>
      </c>
      <c r="M96" s="168">
        <v>1.62351</v>
      </c>
      <c r="N96" s="292">
        <f t="shared" si="14"/>
        <v>-1052.8137647999993</v>
      </c>
      <c r="O96" s="118"/>
    </row>
    <row r="97" spans="1:15" s="119" customFormat="1" ht="15" customHeight="1" x14ac:dyDescent="0.2">
      <c r="A97" s="84" t="s">
        <v>779</v>
      </c>
      <c r="B97" s="84" t="s">
        <v>780</v>
      </c>
      <c r="C97" s="80" t="s">
        <v>53</v>
      </c>
      <c r="D97" s="144">
        <v>41110</v>
      </c>
      <c r="E97" s="158">
        <v>5357</v>
      </c>
      <c r="F97" s="159">
        <v>403.1</v>
      </c>
      <c r="G97" s="195">
        <f t="shared" si="11"/>
        <v>21594.067000000003</v>
      </c>
      <c r="H97" s="287"/>
      <c r="I97" s="144">
        <v>41187</v>
      </c>
      <c r="J97" s="383">
        <v>418.7</v>
      </c>
      <c r="K97" s="197">
        <f t="shared" si="12"/>
        <v>22429.758999999998</v>
      </c>
      <c r="L97" s="180">
        <f t="shared" si="13"/>
        <v>835.69199999999546</v>
      </c>
      <c r="M97" s="168">
        <v>1.61904</v>
      </c>
      <c r="N97" s="292">
        <f t="shared" si="14"/>
        <v>1353.0187756799926</v>
      </c>
      <c r="O97" s="118"/>
    </row>
    <row r="98" spans="1:15" s="119" customFormat="1" ht="15" customHeight="1" x14ac:dyDescent="0.2">
      <c r="A98" s="86" t="s">
        <v>781</v>
      </c>
      <c r="B98" s="86" t="s">
        <v>782</v>
      </c>
      <c r="C98" s="86" t="s">
        <v>78</v>
      </c>
      <c r="D98" s="160">
        <v>41117</v>
      </c>
      <c r="E98" s="161">
        <v>4687</v>
      </c>
      <c r="F98" s="162">
        <v>72.900000000000006</v>
      </c>
      <c r="G98" s="196">
        <f t="shared" ref="G98:G116" si="15">SUM(E98*F98)/100</f>
        <v>3416.8230000000003</v>
      </c>
      <c r="H98" s="118"/>
      <c r="I98" s="160">
        <v>41191</v>
      </c>
      <c r="J98" s="385">
        <v>69.19</v>
      </c>
      <c r="K98" s="186">
        <f t="shared" ref="K98:K116" si="16">SUM(E98*J98)/100</f>
        <v>3242.9352999999996</v>
      </c>
      <c r="L98" s="180">
        <f>SUM(G98-K98)</f>
        <v>173.88770000000068</v>
      </c>
      <c r="M98" s="173">
        <v>1.6025100000000001</v>
      </c>
      <c r="N98" s="292">
        <f>SUM(G98-K98)*M98</f>
        <v>278.65677812700108</v>
      </c>
      <c r="O98" s="118"/>
    </row>
    <row r="99" spans="1:15" s="119" customFormat="1" ht="15" customHeight="1" x14ac:dyDescent="0.2">
      <c r="A99" s="84" t="s">
        <v>735</v>
      </c>
      <c r="B99" s="84" t="s">
        <v>736</v>
      </c>
      <c r="C99" s="80" t="s">
        <v>53</v>
      </c>
      <c r="D99" s="144">
        <v>41187</v>
      </c>
      <c r="E99" s="158">
        <v>2558</v>
      </c>
      <c r="F99" s="159">
        <v>1056.5</v>
      </c>
      <c r="G99" s="195">
        <f t="shared" si="15"/>
        <v>27025.27</v>
      </c>
      <c r="H99" s="287"/>
      <c r="I99" s="144">
        <v>41194</v>
      </c>
      <c r="J99" s="383">
        <v>1029.5</v>
      </c>
      <c r="K99" s="197">
        <f t="shared" si="16"/>
        <v>26334.61</v>
      </c>
      <c r="L99" s="180">
        <f t="shared" si="13"/>
        <v>-690.65999999999985</v>
      </c>
      <c r="M99" s="168">
        <v>1.6042700000000001</v>
      </c>
      <c r="N99" s="292">
        <f>SUM(K99-G99)*M99</f>
        <v>-1108.0051181999997</v>
      </c>
      <c r="O99" s="118"/>
    </row>
    <row r="100" spans="1:15" s="119" customFormat="1" ht="15" customHeight="1" x14ac:dyDescent="0.2">
      <c r="A100" s="84" t="s">
        <v>783</v>
      </c>
      <c r="B100" s="84" t="s">
        <v>784</v>
      </c>
      <c r="C100" s="80" t="s">
        <v>53</v>
      </c>
      <c r="D100" s="144">
        <v>41165</v>
      </c>
      <c r="E100" s="158">
        <v>5336</v>
      </c>
      <c r="F100" s="159">
        <v>322.3</v>
      </c>
      <c r="G100" s="195">
        <f t="shared" si="15"/>
        <v>17197.928</v>
      </c>
      <c r="H100" s="287"/>
      <c r="I100" s="144">
        <v>41208</v>
      </c>
      <c r="J100" s="383">
        <v>320.49</v>
      </c>
      <c r="K100" s="197">
        <f t="shared" si="16"/>
        <v>17101.346400000002</v>
      </c>
      <c r="L100" s="180">
        <f t="shared" si="13"/>
        <v>-96.581599999997707</v>
      </c>
      <c r="M100" s="168">
        <v>1.6117699999999999</v>
      </c>
      <c r="N100" s="292">
        <f>SUM(K100-G100)*M100</f>
        <v>-155.66732543199629</v>
      </c>
      <c r="O100" s="118"/>
    </row>
    <row r="101" spans="1:15" s="119" customFormat="1" ht="15" customHeight="1" x14ac:dyDescent="0.2">
      <c r="A101" s="86" t="s">
        <v>785</v>
      </c>
      <c r="B101" s="86" t="s">
        <v>786</v>
      </c>
      <c r="C101" s="86" t="s">
        <v>78</v>
      </c>
      <c r="D101" s="160">
        <v>41201</v>
      </c>
      <c r="E101" s="161">
        <v>2931</v>
      </c>
      <c r="F101" s="162">
        <v>622.70000000000005</v>
      </c>
      <c r="G101" s="196">
        <f t="shared" si="15"/>
        <v>18251.337000000003</v>
      </c>
      <c r="H101" s="118"/>
      <c r="I101" s="160">
        <v>41208</v>
      </c>
      <c r="J101" s="385">
        <v>600.70000000000005</v>
      </c>
      <c r="K101" s="186">
        <f t="shared" si="16"/>
        <v>17606.517000000003</v>
      </c>
      <c r="L101" s="180">
        <f>SUM(G101-K101)</f>
        <v>644.81999999999971</v>
      </c>
      <c r="M101" s="173">
        <v>1.6117699999999999</v>
      </c>
      <c r="N101" s="292">
        <f>SUM(G101-K101)*M101</f>
        <v>1039.3015313999995</v>
      </c>
      <c r="O101" s="118"/>
    </row>
    <row r="102" spans="1:15" s="119" customFormat="1" ht="15" customHeight="1" x14ac:dyDescent="0.2">
      <c r="A102" s="84" t="s">
        <v>787</v>
      </c>
      <c r="B102" s="84" t="s">
        <v>788</v>
      </c>
      <c r="C102" s="80" t="s">
        <v>53</v>
      </c>
      <c r="D102" s="144">
        <v>41165</v>
      </c>
      <c r="E102" s="158">
        <v>3288</v>
      </c>
      <c r="F102" s="159">
        <v>478.6</v>
      </c>
      <c r="G102" s="195">
        <f t="shared" si="15"/>
        <v>15736.368</v>
      </c>
      <c r="H102" s="287"/>
      <c r="I102" s="144">
        <v>41215</v>
      </c>
      <c r="J102" s="383">
        <v>461.38</v>
      </c>
      <c r="K102" s="197">
        <f t="shared" si="16"/>
        <v>15170.1744</v>
      </c>
      <c r="L102" s="180">
        <f t="shared" si="13"/>
        <v>-566.19360000000052</v>
      </c>
      <c r="M102" s="168">
        <v>1.6128899999999999</v>
      </c>
      <c r="N102" s="292">
        <f>SUM(K102-G102)*M102</f>
        <v>-913.20799550400079</v>
      </c>
      <c r="O102" s="118"/>
    </row>
    <row r="103" spans="1:15" s="119" customFormat="1" ht="15" customHeight="1" x14ac:dyDescent="0.2">
      <c r="A103" s="84" t="s">
        <v>789</v>
      </c>
      <c r="B103" s="84" t="s">
        <v>790</v>
      </c>
      <c r="C103" s="80" t="s">
        <v>53</v>
      </c>
      <c r="D103" s="144">
        <v>41165</v>
      </c>
      <c r="E103" s="158">
        <v>2959</v>
      </c>
      <c r="F103" s="159">
        <v>641</v>
      </c>
      <c r="G103" s="195">
        <f t="shared" si="15"/>
        <v>18967.189999999999</v>
      </c>
      <c r="H103" s="287"/>
      <c r="I103" s="144">
        <v>41229</v>
      </c>
      <c r="J103" s="383">
        <v>660.87</v>
      </c>
      <c r="K103" s="197">
        <f t="shared" si="16"/>
        <v>19555.1433</v>
      </c>
      <c r="L103" s="180">
        <f t="shared" si="13"/>
        <v>587.95330000000104</v>
      </c>
      <c r="M103" s="168">
        <v>1.5864</v>
      </c>
      <c r="N103" s="292">
        <f>SUM(K103-G103)*M103</f>
        <v>932.72911512000167</v>
      </c>
      <c r="O103" s="118"/>
    </row>
    <row r="104" spans="1:15" s="119" customFormat="1" ht="15" customHeight="1" x14ac:dyDescent="0.2">
      <c r="A104" s="84" t="s">
        <v>791</v>
      </c>
      <c r="B104" s="84" t="s">
        <v>792</v>
      </c>
      <c r="C104" s="80" t="s">
        <v>53</v>
      </c>
      <c r="D104" s="144">
        <v>41180</v>
      </c>
      <c r="E104" s="158">
        <v>1283</v>
      </c>
      <c r="F104" s="159">
        <v>1486</v>
      </c>
      <c r="G104" s="195">
        <f t="shared" si="15"/>
        <v>19065.38</v>
      </c>
      <c r="H104" s="287"/>
      <c r="I104" s="144">
        <v>41229</v>
      </c>
      <c r="J104" s="383">
        <v>1483</v>
      </c>
      <c r="K104" s="197">
        <f t="shared" si="16"/>
        <v>19026.89</v>
      </c>
      <c r="L104" s="180">
        <f t="shared" si="13"/>
        <v>-38.490000000001601</v>
      </c>
      <c r="M104" s="168">
        <v>1.5864</v>
      </c>
      <c r="N104" s="292">
        <f>SUM(K104-G104)*M104</f>
        <v>-61.060536000002543</v>
      </c>
      <c r="O104" s="118"/>
    </row>
    <row r="105" spans="1:15" s="119" customFormat="1" ht="15" customHeight="1" x14ac:dyDescent="0.2">
      <c r="A105" s="86" t="s">
        <v>741</v>
      </c>
      <c r="B105" s="86" t="s">
        <v>742</v>
      </c>
      <c r="C105" s="86" t="s">
        <v>78</v>
      </c>
      <c r="D105" s="160">
        <v>41201</v>
      </c>
      <c r="E105" s="161">
        <v>5374</v>
      </c>
      <c r="F105" s="162">
        <v>441.5</v>
      </c>
      <c r="G105" s="196">
        <f t="shared" si="15"/>
        <v>23726.21</v>
      </c>
      <c r="H105" s="118"/>
      <c r="I105" s="160">
        <v>41229</v>
      </c>
      <c r="J105" s="385">
        <v>429.5</v>
      </c>
      <c r="K105" s="186">
        <f t="shared" si="16"/>
        <v>23081.33</v>
      </c>
      <c r="L105" s="180">
        <f>SUM(G105-K105)</f>
        <v>644.87999999999738</v>
      </c>
      <c r="M105" s="173">
        <v>1.5864</v>
      </c>
      <c r="N105" s="292">
        <f>SUM(G105-K105)*M105</f>
        <v>1023.0376319999958</v>
      </c>
      <c r="O105" s="118"/>
    </row>
    <row r="106" spans="1:15" s="119" customFormat="1" ht="15" customHeight="1" x14ac:dyDescent="0.2">
      <c r="A106" s="86" t="s">
        <v>768</v>
      </c>
      <c r="B106" s="86" t="s">
        <v>769</v>
      </c>
      <c r="C106" s="86" t="s">
        <v>78</v>
      </c>
      <c r="D106" s="160">
        <v>41215</v>
      </c>
      <c r="E106" s="161">
        <v>849</v>
      </c>
      <c r="F106" s="162">
        <v>2074</v>
      </c>
      <c r="G106" s="196">
        <f t="shared" si="15"/>
        <v>17608.259999999998</v>
      </c>
      <c r="H106" s="118"/>
      <c r="I106" s="160">
        <v>41229</v>
      </c>
      <c r="J106" s="385">
        <v>1998</v>
      </c>
      <c r="K106" s="186">
        <f t="shared" si="16"/>
        <v>16963.02</v>
      </c>
      <c r="L106" s="180">
        <f>SUM(G106-K106)</f>
        <v>645.23999999999796</v>
      </c>
      <c r="M106" s="173">
        <v>1.5864</v>
      </c>
      <c r="N106" s="292">
        <f>SUM(G106-K106)*M106</f>
        <v>1023.6087359999968</v>
      </c>
      <c r="O106" s="118"/>
    </row>
    <row r="107" spans="1:15" s="119" customFormat="1" ht="15" customHeight="1" x14ac:dyDescent="0.2">
      <c r="A107" s="84" t="s">
        <v>793</v>
      </c>
      <c r="B107" s="84" t="s">
        <v>794</v>
      </c>
      <c r="C107" s="80" t="s">
        <v>53</v>
      </c>
      <c r="D107" s="144">
        <v>41187</v>
      </c>
      <c r="E107" s="158">
        <v>1972</v>
      </c>
      <c r="F107" s="159">
        <v>843</v>
      </c>
      <c r="G107" s="195">
        <f t="shared" si="15"/>
        <v>16623.96</v>
      </c>
      <c r="H107" s="287"/>
      <c r="I107" s="144">
        <v>41243</v>
      </c>
      <c r="J107" s="383">
        <v>813.62</v>
      </c>
      <c r="K107" s="197">
        <f t="shared" si="16"/>
        <v>16044.586399999998</v>
      </c>
      <c r="L107" s="180">
        <f>SUM(K107-G107)</f>
        <v>-579.37360000000081</v>
      </c>
      <c r="M107" s="168">
        <v>1.60398</v>
      </c>
      <c r="N107" s="292">
        <f>SUM(K107-G107)*M107</f>
        <v>-929.30366692800123</v>
      </c>
      <c r="O107" s="118"/>
    </row>
    <row r="108" spans="1:15" s="119" customFormat="1" ht="15" customHeight="1" x14ac:dyDescent="0.2">
      <c r="A108" s="84" t="s">
        <v>795</v>
      </c>
      <c r="B108" s="84" t="s">
        <v>508</v>
      </c>
      <c r="C108" s="80" t="s">
        <v>53</v>
      </c>
      <c r="D108" s="144">
        <v>41159</v>
      </c>
      <c r="E108" s="158">
        <v>4632</v>
      </c>
      <c r="F108" s="159">
        <v>337</v>
      </c>
      <c r="G108" s="195">
        <f t="shared" si="15"/>
        <v>15609.84</v>
      </c>
      <c r="H108" s="287"/>
      <c r="I108" s="144">
        <v>41257</v>
      </c>
      <c r="J108" s="383">
        <v>376.4</v>
      </c>
      <c r="K108" s="197">
        <f t="shared" si="16"/>
        <v>17434.847999999998</v>
      </c>
      <c r="L108" s="180">
        <f>SUM(K108-G108)</f>
        <v>1825.007999999998</v>
      </c>
      <c r="M108" s="168">
        <v>1.6110599999999999</v>
      </c>
      <c r="N108" s="292">
        <f>SUM(K108-G108)*M108</f>
        <v>2940.1973884799968</v>
      </c>
      <c r="O108" s="118"/>
    </row>
    <row r="109" spans="1:15" s="119" customFormat="1" ht="15" customHeight="1" x14ac:dyDescent="0.2">
      <c r="A109" s="86" t="s">
        <v>706</v>
      </c>
      <c r="B109" s="86" t="s">
        <v>707</v>
      </c>
      <c r="C109" s="86" t="s">
        <v>78</v>
      </c>
      <c r="D109" s="160">
        <v>41187</v>
      </c>
      <c r="E109" s="161">
        <v>901</v>
      </c>
      <c r="F109" s="162">
        <v>2145</v>
      </c>
      <c r="G109" s="196">
        <f t="shared" si="15"/>
        <v>19326.45</v>
      </c>
      <c r="H109" s="118"/>
      <c r="I109" s="160">
        <v>41257</v>
      </c>
      <c r="J109" s="385">
        <v>2127</v>
      </c>
      <c r="K109" s="186">
        <f t="shared" si="16"/>
        <v>19164.27</v>
      </c>
      <c r="L109" s="180">
        <f>SUM(G109-K109)</f>
        <v>162.18000000000029</v>
      </c>
      <c r="M109" s="173">
        <v>1.6110599999999999</v>
      </c>
      <c r="N109" s="292">
        <f>SUM(G109-K109)*M109</f>
        <v>261.28171080000044</v>
      </c>
      <c r="O109" s="118"/>
    </row>
    <row r="110" spans="1:15" s="119" customFormat="1" ht="15" customHeight="1" x14ac:dyDescent="0.2">
      <c r="A110" s="84" t="s">
        <v>796</v>
      </c>
      <c r="B110" s="84" t="s">
        <v>797</v>
      </c>
      <c r="C110" s="80" t="s">
        <v>53</v>
      </c>
      <c r="D110" s="144">
        <v>41215</v>
      </c>
      <c r="E110" s="158">
        <v>11125</v>
      </c>
      <c r="F110" s="159">
        <v>112.65</v>
      </c>
      <c r="G110" s="195">
        <f t="shared" si="15"/>
        <v>12532.3125</v>
      </c>
      <c r="H110" s="287"/>
      <c r="I110" s="144">
        <v>41271</v>
      </c>
      <c r="J110" s="383">
        <v>111.9</v>
      </c>
      <c r="K110" s="197">
        <f t="shared" si="16"/>
        <v>12448.875</v>
      </c>
      <c r="L110" s="180">
        <f>SUM(K110-G110)</f>
        <v>-83.4375</v>
      </c>
      <c r="M110" s="168">
        <v>1.60964</v>
      </c>
      <c r="N110" s="292">
        <f>SUM(K110-G110)*M110</f>
        <v>-134.3043375</v>
      </c>
      <c r="O110" s="118"/>
    </row>
    <row r="111" spans="1:15" s="119" customFormat="1" ht="15" customHeight="1" x14ac:dyDescent="0.2">
      <c r="A111" s="86" t="s">
        <v>717</v>
      </c>
      <c r="B111" s="86" t="s">
        <v>718</v>
      </c>
      <c r="C111" s="86" t="s">
        <v>78</v>
      </c>
      <c r="D111" s="160">
        <v>41264</v>
      </c>
      <c r="E111" s="161">
        <v>2925</v>
      </c>
      <c r="F111" s="162">
        <v>315.70999999999998</v>
      </c>
      <c r="G111" s="196">
        <f t="shared" si="15"/>
        <v>9234.5174999999981</v>
      </c>
      <c r="H111" s="118"/>
      <c r="I111" s="160">
        <v>41271</v>
      </c>
      <c r="J111" s="385">
        <v>337.7</v>
      </c>
      <c r="K111" s="186">
        <f t="shared" si="16"/>
        <v>9877.7250000000004</v>
      </c>
      <c r="L111" s="183">
        <f>SUM(G111-K111)</f>
        <v>-643.20750000000226</v>
      </c>
      <c r="M111" s="173">
        <v>1.60964</v>
      </c>
      <c r="N111" s="293">
        <f>SUM(G111-K111)*M111</f>
        <v>-1035.3325203000036</v>
      </c>
      <c r="O111" s="118"/>
    </row>
    <row r="112" spans="1:15" s="119" customFormat="1" ht="15" customHeight="1" x14ac:dyDescent="0.2">
      <c r="A112" s="84" t="s">
        <v>713</v>
      </c>
      <c r="B112" s="84" t="s">
        <v>714</v>
      </c>
      <c r="C112" s="80" t="s">
        <v>53</v>
      </c>
      <c r="D112" s="144">
        <v>41208</v>
      </c>
      <c r="E112" s="158">
        <v>1695</v>
      </c>
      <c r="F112" s="159">
        <v>1362</v>
      </c>
      <c r="G112" s="195">
        <f t="shared" si="15"/>
        <v>23085.9</v>
      </c>
      <c r="H112" s="287"/>
      <c r="I112" s="144">
        <v>41285</v>
      </c>
      <c r="J112" s="383">
        <v>1524</v>
      </c>
      <c r="K112" s="197">
        <f t="shared" si="16"/>
        <v>25831.8</v>
      </c>
      <c r="L112" s="180">
        <f>SUM(K112-G112)</f>
        <v>2745.8999999999978</v>
      </c>
      <c r="M112" s="168">
        <v>1.61653</v>
      </c>
      <c r="N112" s="292">
        <f>SUM(K112-G112)*M112</f>
        <v>4438.8297269999966</v>
      </c>
      <c r="O112" s="118"/>
    </row>
    <row r="113" spans="1:16" s="119" customFormat="1" ht="15" customHeight="1" x14ac:dyDescent="0.2">
      <c r="A113" s="86" t="s">
        <v>798</v>
      </c>
      <c r="B113" s="86" t="s">
        <v>799</v>
      </c>
      <c r="C113" s="86" t="s">
        <v>78</v>
      </c>
      <c r="D113" s="160">
        <v>41250</v>
      </c>
      <c r="E113" s="161">
        <v>14027</v>
      </c>
      <c r="F113" s="162">
        <v>91.95</v>
      </c>
      <c r="G113" s="196">
        <f t="shared" si="15"/>
        <v>12897.826500000001</v>
      </c>
      <c r="H113" s="118"/>
      <c r="I113" s="160">
        <v>41285</v>
      </c>
      <c r="J113" s="385">
        <v>91.7</v>
      </c>
      <c r="K113" s="186">
        <f t="shared" si="16"/>
        <v>12862.759000000002</v>
      </c>
      <c r="L113" s="180">
        <f>SUM(G113-K113)</f>
        <v>35.0674999999992</v>
      </c>
      <c r="M113" s="173">
        <v>1.61653</v>
      </c>
      <c r="N113" s="292">
        <f>SUM(G113-K113)*M113</f>
        <v>56.687665774998706</v>
      </c>
      <c r="O113" s="118"/>
    </row>
    <row r="114" spans="1:16" s="117" customFormat="1" ht="15" customHeight="1" x14ac:dyDescent="0.2">
      <c r="A114" s="2" t="s">
        <v>939</v>
      </c>
      <c r="B114" s="84" t="s">
        <v>940</v>
      </c>
      <c r="C114" s="84" t="s">
        <v>53</v>
      </c>
      <c r="D114" s="77">
        <v>41302</v>
      </c>
      <c r="E114" s="76">
        <v>4422</v>
      </c>
      <c r="F114" s="150">
        <v>471.2</v>
      </c>
      <c r="G114" s="195">
        <f t="shared" si="15"/>
        <v>20836.464</v>
      </c>
      <c r="H114" s="287"/>
      <c r="I114" s="371">
        <v>41313</v>
      </c>
      <c r="J114" s="340">
        <v>456.3</v>
      </c>
      <c r="K114" s="197">
        <f t="shared" si="16"/>
        <v>20177.585999999999</v>
      </c>
      <c r="L114" s="180">
        <f t="shared" ref="L114:L119" si="17">SUM(K114-G114)</f>
        <v>-658.87800000000061</v>
      </c>
      <c r="M114" s="168">
        <v>1.5712900000000001</v>
      </c>
      <c r="N114" s="292">
        <f t="shared" ref="N114:N119" si="18">SUM(K114-G114)*M114</f>
        <v>-1035.2884126200011</v>
      </c>
      <c r="O114" s="287"/>
      <c r="P114" s="287"/>
    </row>
    <row r="115" spans="1:16" s="117" customFormat="1" ht="15" customHeight="1" x14ac:dyDescent="0.2">
      <c r="A115" s="2" t="s">
        <v>966</v>
      </c>
      <c r="B115" s="84" t="s">
        <v>965</v>
      </c>
      <c r="C115" s="84" t="s">
        <v>53</v>
      </c>
      <c r="D115" s="77">
        <v>41309</v>
      </c>
      <c r="E115" s="76">
        <v>5883</v>
      </c>
      <c r="F115" s="150">
        <v>357.1</v>
      </c>
      <c r="G115" s="195">
        <f t="shared" si="15"/>
        <v>21008.193000000003</v>
      </c>
      <c r="H115" s="287"/>
      <c r="I115" s="371">
        <v>41309</v>
      </c>
      <c r="J115" s="340">
        <v>346.1</v>
      </c>
      <c r="K115" s="197">
        <f t="shared" si="16"/>
        <v>20361.063000000002</v>
      </c>
      <c r="L115" s="180">
        <f t="shared" si="17"/>
        <v>-647.13000000000102</v>
      </c>
      <c r="M115" s="168">
        <v>1.5696699999999999</v>
      </c>
      <c r="N115" s="292">
        <f t="shared" si="18"/>
        <v>-1015.7805471000015</v>
      </c>
      <c r="O115" s="287"/>
      <c r="P115" s="287"/>
    </row>
    <row r="116" spans="1:16" s="119" customFormat="1" ht="15" customHeight="1" x14ac:dyDescent="0.2">
      <c r="A116" s="84" t="s">
        <v>812</v>
      </c>
      <c r="B116" s="277" t="s">
        <v>813</v>
      </c>
      <c r="C116" s="80" t="s">
        <v>53</v>
      </c>
      <c r="D116" s="144">
        <v>41187</v>
      </c>
      <c r="E116" s="158">
        <v>1214</v>
      </c>
      <c r="F116" s="159">
        <v>1776</v>
      </c>
      <c r="G116" s="195">
        <f t="shared" si="15"/>
        <v>21560.639999999999</v>
      </c>
      <c r="H116" s="287"/>
      <c r="I116" s="371">
        <v>41316</v>
      </c>
      <c r="J116" s="383">
        <v>2120</v>
      </c>
      <c r="K116" s="197">
        <f t="shared" si="16"/>
        <v>25736.799999999999</v>
      </c>
      <c r="L116" s="180">
        <f t="shared" si="17"/>
        <v>4176.16</v>
      </c>
      <c r="M116" s="168">
        <v>1.57968</v>
      </c>
      <c r="N116" s="292">
        <f t="shared" si="18"/>
        <v>6596.9964288000001</v>
      </c>
      <c r="O116" s="118"/>
      <c r="P116" s="118"/>
    </row>
    <row r="117" spans="1:16" s="119" customFormat="1" ht="15" customHeight="1" x14ac:dyDescent="0.2">
      <c r="A117" s="84" t="s">
        <v>802</v>
      </c>
      <c r="B117" s="277" t="s">
        <v>803</v>
      </c>
      <c r="C117" s="84" t="s">
        <v>53</v>
      </c>
      <c r="D117" s="144">
        <v>41159</v>
      </c>
      <c r="E117" s="158">
        <v>3413</v>
      </c>
      <c r="F117" s="159">
        <v>330.4</v>
      </c>
      <c r="G117" s="195">
        <f t="shared" ref="G117:G124" si="19">SUM(E117*F117)/100</f>
        <v>11276.552</v>
      </c>
      <c r="H117" s="287"/>
      <c r="I117" s="371">
        <v>41346</v>
      </c>
      <c r="J117" s="383">
        <v>427.1</v>
      </c>
      <c r="K117" s="197">
        <f t="shared" ref="K117:K124" si="20">SUM(E117*J117)/100</f>
        <v>14576.923000000001</v>
      </c>
      <c r="L117" s="180">
        <f t="shared" si="17"/>
        <v>3300.371000000001</v>
      </c>
      <c r="M117" s="168">
        <v>1.4901599999999999</v>
      </c>
      <c r="N117" s="292">
        <f t="shared" si="18"/>
        <v>4918.0808493600016</v>
      </c>
      <c r="O117" s="118"/>
      <c r="P117" s="118"/>
    </row>
    <row r="118" spans="1:16" s="117" customFormat="1" ht="15" customHeight="1" x14ac:dyDescent="0.2">
      <c r="A118" s="2" t="s">
        <v>967</v>
      </c>
      <c r="B118" s="84" t="s">
        <v>964</v>
      </c>
      <c r="C118" s="84" t="s">
        <v>53</v>
      </c>
      <c r="D118" s="77">
        <v>41312</v>
      </c>
      <c r="E118" s="76">
        <v>1632</v>
      </c>
      <c r="F118" s="150">
        <v>817.5</v>
      </c>
      <c r="G118" s="195">
        <f t="shared" si="19"/>
        <v>13341.6</v>
      </c>
      <c r="H118" s="287"/>
      <c r="I118" s="371">
        <v>41319</v>
      </c>
      <c r="J118" s="340">
        <v>787.5</v>
      </c>
      <c r="K118" s="197">
        <f t="shared" si="20"/>
        <v>12852</v>
      </c>
      <c r="L118" s="180">
        <f t="shared" si="17"/>
        <v>-489.60000000000036</v>
      </c>
      <c r="M118" s="168">
        <v>1.55402</v>
      </c>
      <c r="N118" s="292">
        <f t="shared" si="18"/>
        <v>-760.84819200000049</v>
      </c>
      <c r="O118" s="287"/>
      <c r="P118" s="287"/>
    </row>
    <row r="119" spans="1:16" s="119" customFormat="1" ht="15" customHeight="1" x14ac:dyDescent="0.2">
      <c r="A119" s="84" t="s">
        <v>833</v>
      </c>
      <c r="B119" s="277" t="s">
        <v>834</v>
      </c>
      <c r="C119" s="84" t="s">
        <v>53</v>
      </c>
      <c r="D119" s="144">
        <v>41292</v>
      </c>
      <c r="E119" s="158">
        <v>3245</v>
      </c>
      <c r="F119" s="159">
        <v>576.9</v>
      </c>
      <c r="G119" s="195">
        <f t="shared" si="19"/>
        <v>18720.404999999999</v>
      </c>
      <c r="H119" s="287"/>
      <c r="I119" s="371">
        <v>41323</v>
      </c>
      <c r="J119" s="383">
        <v>579.20000000000005</v>
      </c>
      <c r="K119" s="197">
        <f t="shared" si="20"/>
        <v>18795.04</v>
      </c>
      <c r="L119" s="180">
        <f t="shared" si="17"/>
        <v>74.635000000002037</v>
      </c>
      <c r="M119" s="168">
        <v>1.5503499999999999</v>
      </c>
      <c r="N119" s="292">
        <f t="shared" si="18"/>
        <v>115.71037225000315</v>
      </c>
      <c r="O119" s="118"/>
      <c r="P119" s="118"/>
    </row>
    <row r="120" spans="1:16" s="119" customFormat="1" ht="15" customHeight="1" x14ac:dyDescent="0.2">
      <c r="A120" s="84" t="s">
        <v>820</v>
      </c>
      <c r="B120" s="277" t="s">
        <v>821</v>
      </c>
      <c r="C120" s="84" t="s">
        <v>53</v>
      </c>
      <c r="D120" s="144">
        <v>41264</v>
      </c>
      <c r="E120" s="158">
        <v>3214</v>
      </c>
      <c r="F120" s="159">
        <v>564.51</v>
      </c>
      <c r="G120" s="195">
        <f t="shared" si="19"/>
        <v>18143.3514</v>
      </c>
      <c r="H120" s="287"/>
      <c r="I120" s="371">
        <v>41331</v>
      </c>
      <c r="J120" s="383">
        <v>566.79999999999995</v>
      </c>
      <c r="K120" s="197">
        <f t="shared" si="20"/>
        <v>18216.952000000001</v>
      </c>
      <c r="L120" s="180">
        <f t="shared" ref="L120:L126" si="21">SUM(K120-G120)</f>
        <v>73.600600000001577</v>
      </c>
      <c r="M120" s="168">
        <v>1.51627</v>
      </c>
      <c r="N120" s="292">
        <f t="shared" ref="N120:N126" si="22">SUM(K120-G120)*M120</f>
        <v>111.59838176200239</v>
      </c>
      <c r="O120" s="118"/>
      <c r="P120" s="118"/>
    </row>
    <row r="121" spans="1:16" s="117" customFormat="1" ht="15" customHeight="1" x14ac:dyDescent="0.2">
      <c r="A121" s="2" t="s">
        <v>982</v>
      </c>
      <c r="B121" s="84" t="s">
        <v>983</v>
      </c>
      <c r="C121" s="84" t="s">
        <v>53</v>
      </c>
      <c r="D121" s="77">
        <v>41316</v>
      </c>
      <c r="E121" s="76">
        <v>7831</v>
      </c>
      <c r="F121" s="150">
        <v>100.2</v>
      </c>
      <c r="G121" s="195">
        <f t="shared" si="19"/>
        <v>7846.6620000000003</v>
      </c>
      <c r="H121" s="287"/>
      <c r="I121" s="371">
        <v>41332</v>
      </c>
      <c r="J121" s="340">
        <v>95.13</v>
      </c>
      <c r="K121" s="197">
        <f t="shared" si="20"/>
        <v>7449.6302999999989</v>
      </c>
      <c r="L121" s="180">
        <f t="shared" si="21"/>
        <v>-397.03170000000136</v>
      </c>
      <c r="M121" s="168">
        <v>1.5122599999999999</v>
      </c>
      <c r="N121" s="292">
        <f t="shared" si="22"/>
        <v>-600.41515864200198</v>
      </c>
      <c r="O121" s="287"/>
      <c r="P121" s="287"/>
    </row>
    <row r="122" spans="1:16" s="117" customFormat="1" ht="15" customHeight="1" x14ac:dyDescent="0.2">
      <c r="A122" s="2" t="s">
        <v>1054</v>
      </c>
      <c r="B122" s="84" t="s">
        <v>1051</v>
      </c>
      <c r="C122" s="84" t="s">
        <v>53</v>
      </c>
      <c r="D122" s="77">
        <v>41330</v>
      </c>
      <c r="E122" s="76">
        <v>15000</v>
      </c>
      <c r="F122" s="150">
        <v>126.97</v>
      </c>
      <c r="G122" s="195">
        <f t="shared" si="19"/>
        <v>19045.5</v>
      </c>
      <c r="H122" s="287"/>
      <c r="I122" s="371">
        <v>41330</v>
      </c>
      <c r="J122" s="340">
        <v>125.03</v>
      </c>
      <c r="K122" s="197">
        <f t="shared" si="20"/>
        <v>18754.5</v>
      </c>
      <c r="L122" s="180">
        <f t="shared" si="21"/>
        <v>-291</v>
      </c>
      <c r="M122" s="168">
        <v>1.5076499999999999</v>
      </c>
      <c r="N122" s="292">
        <f t="shared" si="22"/>
        <v>-438.72614999999996</v>
      </c>
      <c r="O122" s="287"/>
      <c r="P122" s="287"/>
    </row>
    <row r="123" spans="1:16" s="119" customFormat="1" ht="15" customHeight="1" x14ac:dyDescent="0.2">
      <c r="A123" s="84" t="s">
        <v>704</v>
      </c>
      <c r="B123" s="277" t="s">
        <v>705</v>
      </c>
      <c r="C123" s="84" t="s">
        <v>53</v>
      </c>
      <c r="D123" s="144">
        <v>41180</v>
      </c>
      <c r="E123" s="158">
        <v>26747</v>
      </c>
      <c r="F123" s="159">
        <v>138</v>
      </c>
      <c r="G123" s="195">
        <f t="shared" si="19"/>
        <v>36910.86</v>
      </c>
      <c r="H123" s="287"/>
      <c r="I123" s="371">
        <v>41339</v>
      </c>
      <c r="J123" s="383">
        <v>148</v>
      </c>
      <c r="K123" s="197">
        <f t="shared" si="20"/>
        <v>39585.56</v>
      </c>
      <c r="L123" s="180">
        <f t="shared" si="21"/>
        <v>2674.6999999999971</v>
      </c>
      <c r="M123" s="168">
        <v>1.5124599999999999</v>
      </c>
      <c r="N123" s="292">
        <f t="shared" si="22"/>
        <v>4045.3767619999953</v>
      </c>
      <c r="O123" s="118"/>
      <c r="P123" s="118"/>
    </row>
    <row r="124" spans="1:16" s="119" customFormat="1" ht="15" customHeight="1" x14ac:dyDescent="0.2">
      <c r="A124" s="84" t="s">
        <v>816</v>
      </c>
      <c r="B124" s="277" t="s">
        <v>817</v>
      </c>
      <c r="C124" s="80" t="s">
        <v>53</v>
      </c>
      <c r="D124" s="144">
        <v>41250</v>
      </c>
      <c r="E124" s="158">
        <v>8962</v>
      </c>
      <c r="F124" s="159">
        <v>257.5</v>
      </c>
      <c r="G124" s="195">
        <f t="shared" si="19"/>
        <v>23077.15</v>
      </c>
      <c r="H124" s="287"/>
      <c r="I124" s="371">
        <v>41339</v>
      </c>
      <c r="J124" s="383">
        <v>285.2</v>
      </c>
      <c r="K124" s="197">
        <f t="shared" si="20"/>
        <v>25559.624</v>
      </c>
      <c r="L124" s="180">
        <f t="shared" si="21"/>
        <v>2482.4739999999983</v>
      </c>
      <c r="M124" s="168">
        <v>1.5124599999999999</v>
      </c>
      <c r="N124" s="292">
        <f t="shared" si="22"/>
        <v>3754.6426260399971</v>
      </c>
      <c r="O124" s="118"/>
      <c r="P124" s="118"/>
    </row>
    <row r="125" spans="1:16" s="119" customFormat="1" ht="15" customHeight="1" x14ac:dyDescent="0.2">
      <c r="A125" s="84" t="s">
        <v>822</v>
      </c>
      <c r="B125" s="277" t="s">
        <v>823</v>
      </c>
      <c r="C125" s="84" t="s">
        <v>53</v>
      </c>
      <c r="D125" s="144">
        <v>41264</v>
      </c>
      <c r="E125" s="158">
        <v>21440</v>
      </c>
      <c r="F125" s="159">
        <v>48.79</v>
      </c>
      <c r="G125" s="195">
        <f t="shared" ref="G125:G133" si="23">SUM(E125*F125)/100</f>
        <v>10460.575999999999</v>
      </c>
      <c r="H125" s="287"/>
      <c r="I125" s="371">
        <v>41344</v>
      </c>
      <c r="J125" s="383">
        <v>49.23</v>
      </c>
      <c r="K125" s="197">
        <f t="shared" ref="K125:K133" si="24">SUM(E125*J125)/100</f>
        <v>10554.912</v>
      </c>
      <c r="L125" s="180">
        <f t="shared" si="21"/>
        <v>94.33600000000115</v>
      </c>
      <c r="M125" s="168">
        <v>1.49194</v>
      </c>
      <c r="N125" s="292">
        <f t="shared" si="22"/>
        <v>140.74365184000172</v>
      </c>
      <c r="O125" s="118"/>
      <c r="P125" s="118"/>
    </row>
    <row r="126" spans="1:16" s="117" customFormat="1" ht="15" customHeight="1" x14ac:dyDescent="0.2">
      <c r="A126" s="2" t="s">
        <v>1079</v>
      </c>
      <c r="B126" s="84" t="s">
        <v>1080</v>
      </c>
      <c r="C126" s="84" t="s">
        <v>53</v>
      </c>
      <c r="D126" s="77">
        <v>41338</v>
      </c>
      <c r="E126" s="76">
        <v>24359</v>
      </c>
      <c r="F126" s="150">
        <v>134.1</v>
      </c>
      <c r="G126" s="195">
        <f t="shared" si="23"/>
        <v>32665.418999999998</v>
      </c>
      <c r="H126" s="287"/>
      <c r="I126" s="371">
        <v>41348</v>
      </c>
      <c r="J126" s="340">
        <v>130.9</v>
      </c>
      <c r="K126" s="197">
        <f t="shared" si="24"/>
        <v>31885.931</v>
      </c>
      <c r="L126" s="180">
        <f t="shared" si="21"/>
        <v>-779.48799999999756</v>
      </c>
      <c r="M126" s="168">
        <v>1.5081500000000001</v>
      </c>
      <c r="N126" s="292">
        <f t="shared" si="22"/>
        <v>-1175.5848271999964</v>
      </c>
      <c r="O126" s="287"/>
      <c r="P126" s="287"/>
    </row>
    <row r="127" spans="1:16" s="117" customFormat="1" ht="15" customHeight="1" x14ac:dyDescent="0.2">
      <c r="A127" s="2" t="s">
        <v>1086</v>
      </c>
      <c r="B127" s="84" t="s">
        <v>1085</v>
      </c>
      <c r="C127" s="84" t="s">
        <v>53</v>
      </c>
      <c r="D127" s="77">
        <v>41338</v>
      </c>
      <c r="E127" s="76">
        <v>6163</v>
      </c>
      <c r="F127" s="150">
        <v>300.2</v>
      </c>
      <c r="G127" s="195">
        <f t="shared" si="23"/>
        <v>18501.325999999997</v>
      </c>
      <c r="H127" s="287"/>
      <c r="I127" s="371">
        <v>41352</v>
      </c>
      <c r="J127" s="340">
        <v>290.2</v>
      </c>
      <c r="K127" s="197">
        <f t="shared" si="24"/>
        <v>17885.025999999998</v>
      </c>
      <c r="L127" s="180">
        <f t="shared" ref="L127:L133" si="25">SUM(K127-G127)</f>
        <v>-616.29999999999927</v>
      </c>
      <c r="M127" s="168">
        <v>1.51047</v>
      </c>
      <c r="N127" s="292">
        <f t="shared" ref="N127:N133" si="26">SUM(K127-G127)*M127</f>
        <v>-930.90266099999894</v>
      </c>
      <c r="O127" s="287"/>
      <c r="P127" s="287"/>
    </row>
    <row r="128" spans="1:16" s="117" customFormat="1" ht="15" customHeight="1" x14ac:dyDescent="0.2">
      <c r="A128" s="2" t="s">
        <v>1078</v>
      </c>
      <c r="B128" s="84" t="s">
        <v>1077</v>
      </c>
      <c r="C128" s="84" t="s">
        <v>53</v>
      </c>
      <c r="D128" s="77">
        <v>41337</v>
      </c>
      <c r="E128" s="76">
        <v>4520</v>
      </c>
      <c r="F128" s="150">
        <v>510</v>
      </c>
      <c r="G128" s="195">
        <f t="shared" si="23"/>
        <v>23052</v>
      </c>
      <c r="H128" s="287"/>
      <c r="I128" s="371">
        <v>41352</v>
      </c>
      <c r="J128" s="340">
        <v>495</v>
      </c>
      <c r="K128" s="197">
        <f t="shared" si="24"/>
        <v>22374</v>
      </c>
      <c r="L128" s="180">
        <f t="shared" si="25"/>
        <v>-678</v>
      </c>
      <c r="M128" s="168">
        <v>1.51047</v>
      </c>
      <c r="N128" s="292">
        <f t="shared" si="26"/>
        <v>-1024.0986599999999</v>
      </c>
      <c r="O128" s="287"/>
      <c r="P128" s="287"/>
    </row>
    <row r="129" spans="1:16" s="117" customFormat="1" ht="15" customHeight="1" x14ac:dyDescent="0.2">
      <c r="A129" s="2" t="s">
        <v>1101</v>
      </c>
      <c r="B129" s="84" t="s">
        <v>1102</v>
      </c>
      <c r="C129" s="84" t="s">
        <v>53</v>
      </c>
      <c r="D129" s="77">
        <v>41347</v>
      </c>
      <c r="E129" s="76">
        <v>895</v>
      </c>
      <c r="F129" s="150">
        <v>1472</v>
      </c>
      <c r="G129" s="195">
        <f t="shared" si="23"/>
        <v>13174.4</v>
      </c>
      <c r="H129" s="287"/>
      <c r="I129" s="371">
        <v>41354</v>
      </c>
      <c r="J129" s="340">
        <v>1395</v>
      </c>
      <c r="K129" s="197">
        <f t="shared" si="24"/>
        <v>12485.25</v>
      </c>
      <c r="L129" s="180">
        <f t="shared" si="25"/>
        <v>-689.14999999999964</v>
      </c>
      <c r="M129" s="168">
        <v>1.50976</v>
      </c>
      <c r="N129" s="292">
        <f t="shared" si="26"/>
        <v>-1040.4511039999995</v>
      </c>
      <c r="O129" s="287"/>
      <c r="P129" s="287"/>
    </row>
    <row r="130" spans="1:16" s="117" customFormat="1" ht="15" customHeight="1" x14ac:dyDescent="0.2">
      <c r="A130" s="2" t="s">
        <v>1015</v>
      </c>
      <c r="B130" s="84" t="s">
        <v>1016</v>
      </c>
      <c r="C130" s="84" t="s">
        <v>53</v>
      </c>
      <c r="D130" s="77">
        <v>41324</v>
      </c>
      <c r="E130" s="76">
        <v>4142</v>
      </c>
      <c r="F130" s="150">
        <v>347.7</v>
      </c>
      <c r="G130" s="195">
        <f t="shared" si="23"/>
        <v>14401.733999999999</v>
      </c>
      <c r="H130" s="287"/>
      <c r="I130" s="371">
        <v>41354</v>
      </c>
      <c r="J130" s="340">
        <v>331.5</v>
      </c>
      <c r="K130" s="197">
        <f t="shared" si="24"/>
        <v>13730.73</v>
      </c>
      <c r="L130" s="180">
        <f t="shared" si="25"/>
        <v>-671.003999999999</v>
      </c>
      <c r="M130" s="168">
        <v>1.50976</v>
      </c>
      <c r="N130" s="292">
        <f t="shared" si="26"/>
        <v>-1013.0549990399985</v>
      </c>
      <c r="O130" s="287"/>
      <c r="P130" s="287"/>
    </row>
    <row r="131" spans="1:16" s="117" customFormat="1" ht="15" customHeight="1" x14ac:dyDescent="0.2">
      <c r="A131" s="2" t="s">
        <v>1118</v>
      </c>
      <c r="B131" s="84" t="s">
        <v>1119</v>
      </c>
      <c r="C131" s="84" t="s">
        <v>53</v>
      </c>
      <c r="D131" s="77">
        <v>41355</v>
      </c>
      <c r="E131" s="76">
        <v>1717</v>
      </c>
      <c r="F131" s="150">
        <v>1024</v>
      </c>
      <c r="G131" s="195">
        <f t="shared" si="23"/>
        <v>17582.080000000002</v>
      </c>
      <c r="H131" s="287"/>
      <c r="I131" s="358">
        <v>41360</v>
      </c>
      <c r="J131" s="340">
        <v>984</v>
      </c>
      <c r="K131" s="197">
        <f t="shared" si="24"/>
        <v>16895.28</v>
      </c>
      <c r="L131" s="180">
        <f t="shared" si="25"/>
        <v>-686.80000000000291</v>
      </c>
      <c r="M131" s="168">
        <v>1</v>
      </c>
      <c r="N131" s="292">
        <f t="shared" si="26"/>
        <v>-686.80000000000291</v>
      </c>
      <c r="O131" s="287"/>
      <c r="P131" s="287"/>
    </row>
    <row r="132" spans="1:16" s="119" customFormat="1" ht="15" customHeight="1" x14ac:dyDescent="0.2">
      <c r="A132" s="84" t="s">
        <v>808</v>
      </c>
      <c r="B132" s="277" t="s">
        <v>809</v>
      </c>
      <c r="C132" s="84" t="s">
        <v>53</v>
      </c>
      <c r="D132" s="144">
        <v>41165</v>
      </c>
      <c r="E132" s="158">
        <v>1615</v>
      </c>
      <c r="F132" s="159">
        <v>1190.1500000000001</v>
      </c>
      <c r="G132" s="195">
        <f t="shared" si="23"/>
        <v>19220.922500000001</v>
      </c>
      <c r="H132" s="287"/>
      <c r="I132" s="358">
        <v>41360</v>
      </c>
      <c r="J132" s="383">
        <v>1357</v>
      </c>
      <c r="K132" s="197">
        <f t="shared" si="24"/>
        <v>21915.55</v>
      </c>
      <c r="L132" s="180">
        <f t="shared" si="25"/>
        <v>2694.6274999999987</v>
      </c>
      <c r="M132" s="168">
        <v>1.5376000000000001</v>
      </c>
      <c r="N132" s="292">
        <f t="shared" si="26"/>
        <v>4143.259243999998</v>
      </c>
      <c r="O132" s="378"/>
      <c r="P132" s="118"/>
    </row>
    <row r="133" spans="1:16" s="119" customFormat="1" ht="15" customHeight="1" x14ac:dyDescent="0.2">
      <c r="A133" s="84" t="s">
        <v>804</v>
      </c>
      <c r="B133" s="277" t="s">
        <v>805</v>
      </c>
      <c r="C133" s="84" t="s">
        <v>53</v>
      </c>
      <c r="D133" s="144">
        <v>41159</v>
      </c>
      <c r="E133" s="158">
        <v>15620</v>
      </c>
      <c r="F133" s="159">
        <v>115.45</v>
      </c>
      <c r="G133" s="195">
        <f t="shared" si="23"/>
        <v>18033.29</v>
      </c>
      <c r="H133" s="287"/>
      <c r="I133" s="371">
        <v>41361</v>
      </c>
      <c r="J133" s="383">
        <v>138.19999999999999</v>
      </c>
      <c r="K133" s="197">
        <f t="shared" si="24"/>
        <v>21586.84</v>
      </c>
      <c r="L133" s="180">
        <f t="shared" si="25"/>
        <v>3553.5499999999993</v>
      </c>
      <c r="M133" s="168">
        <v>1.51294</v>
      </c>
      <c r="N133" s="292">
        <f t="shared" si="26"/>
        <v>5376.3079369999987</v>
      </c>
      <c r="O133" s="118"/>
      <c r="P133" s="118"/>
    </row>
    <row r="134" spans="1:16" s="119" customFormat="1" ht="15" customHeight="1" x14ac:dyDescent="0.2">
      <c r="A134" s="84" t="s">
        <v>692</v>
      </c>
      <c r="B134" s="277" t="s">
        <v>693</v>
      </c>
      <c r="C134" s="84" t="s">
        <v>53</v>
      </c>
      <c r="D134" s="144">
        <v>41159</v>
      </c>
      <c r="E134" s="158">
        <v>763</v>
      </c>
      <c r="F134" s="159">
        <v>1883</v>
      </c>
      <c r="G134" s="195">
        <f t="shared" ref="G134:G140" si="27">SUM(E134*F134)/100</f>
        <v>14367.29</v>
      </c>
      <c r="H134" s="287"/>
      <c r="I134" s="371">
        <v>41369</v>
      </c>
      <c r="J134" s="383">
        <v>2146</v>
      </c>
      <c r="K134" s="197">
        <f t="shared" ref="K134:K140" si="28">SUM(E134*J134)/100</f>
        <v>16373.98</v>
      </c>
      <c r="L134" s="180">
        <f t="shared" ref="L134:L140" si="29">SUM(K134-G134)</f>
        <v>2006.6899999999987</v>
      </c>
      <c r="M134" s="168">
        <v>1.5232000000000001</v>
      </c>
      <c r="N134" s="292">
        <f t="shared" ref="N134:N140" si="30">SUM(K134-G134)*M134</f>
        <v>3056.5902079999983</v>
      </c>
      <c r="O134" s="118"/>
      <c r="P134" s="118"/>
    </row>
    <row r="135" spans="1:16" s="119" customFormat="1" ht="15" customHeight="1" x14ac:dyDescent="0.2">
      <c r="A135" s="84" t="s">
        <v>826</v>
      </c>
      <c r="B135" s="277" t="s">
        <v>827</v>
      </c>
      <c r="C135" s="84" t="s">
        <v>53</v>
      </c>
      <c r="D135" s="144">
        <v>41278</v>
      </c>
      <c r="E135" s="158">
        <v>4661</v>
      </c>
      <c r="F135" s="159">
        <v>330.3</v>
      </c>
      <c r="G135" s="195">
        <f t="shared" si="27"/>
        <v>15395.283000000001</v>
      </c>
      <c r="H135" s="287"/>
      <c r="I135" s="371">
        <v>41369</v>
      </c>
      <c r="J135" s="383">
        <v>348.6</v>
      </c>
      <c r="K135" s="197">
        <f t="shared" si="28"/>
        <v>16248.246000000001</v>
      </c>
      <c r="L135" s="180">
        <f t="shared" si="29"/>
        <v>852.96299999999974</v>
      </c>
      <c r="M135" s="168">
        <v>1.5232000000000001</v>
      </c>
      <c r="N135" s="292">
        <f t="shared" si="30"/>
        <v>1299.2332415999997</v>
      </c>
      <c r="O135" s="118"/>
      <c r="P135" s="118"/>
    </row>
    <row r="136" spans="1:16" s="119" customFormat="1" ht="15" customHeight="1" x14ac:dyDescent="0.2">
      <c r="A136" s="84" t="s">
        <v>831</v>
      </c>
      <c r="B136" s="277" t="s">
        <v>832</v>
      </c>
      <c r="C136" s="84" t="s">
        <v>53</v>
      </c>
      <c r="D136" s="144">
        <v>41285</v>
      </c>
      <c r="E136" s="158">
        <v>5021</v>
      </c>
      <c r="F136" s="159">
        <v>535.5</v>
      </c>
      <c r="G136" s="195">
        <f t="shared" si="27"/>
        <v>26887.455000000002</v>
      </c>
      <c r="H136" s="287"/>
      <c r="I136" s="371">
        <v>41369</v>
      </c>
      <c r="J136" s="383">
        <v>571.4</v>
      </c>
      <c r="K136" s="197">
        <f t="shared" si="28"/>
        <v>28689.993999999999</v>
      </c>
      <c r="L136" s="180">
        <f t="shared" si="29"/>
        <v>1802.538999999997</v>
      </c>
      <c r="M136" s="168">
        <v>1.5232000000000001</v>
      </c>
      <c r="N136" s="292">
        <f t="shared" si="30"/>
        <v>2745.6274047999955</v>
      </c>
      <c r="O136" s="118"/>
      <c r="P136" s="118"/>
    </row>
    <row r="137" spans="1:16" s="117" customFormat="1" ht="15" customHeight="1" x14ac:dyDescent="0.2">
      <c r="A137" s="2" t="s">
        <v>743</v>
      </c>
      <c r="B137" s="84" t="s">
        <v>744</v>
      </c>
      <c r="C137" s="84" t="s">
        <v>53</v>
      </c>
      <c r="D137" s="77">
        <v>41302</v>
      </c>
      <c r="E137" s="76">
        <v>5235</v>
      </c>
      <c r="F137" s="150">
        <v>535.6</v>
      </c>
      <c r="G137" s="195">
        <f t="shared" si="27"/>
        <v>28038.66</v>
      </c>
      <c r="H137" s="287"/>
      <c r="I137" s="371">
        <v>41369</v>
      </c>
      <c r="J137" s="340">
        <v>556.6</v>
      </c>
      <c r="K137" s="197">
        <f t="shared" si="28"/>
        <v>29138.01</v>
      </c>
      <c r="L137" s="180">
        <f t="shared" si="29"/>
        <v>1099.3499999999985</v>
      </c>
      <c r="M137" s="168">
        <v>1.5232000000000001</v>
      </c>
      <c r="N137" s="292">
        <f t="shared" si="30"/>
        <v>1674.5299199999979</v>
      </c>
      <c r="O137" s="287"/>
      <c r="P137" s="287"/>
    </row>
    <row r="138" spans="1:16" s="117" customFormat="1" ht="15" customHeight="1" x14ac:dyDescent="0.2">
      <c r="A138" s="2" t="s">
        <v>1002</v>
      </c>
      <c r="B138" s="84" t="s">
        <v>1003</v>
      </c>
      <c r="C138" s="84" t="s">
        <v>53</v>
      </c>
      <c r="D138" s="77">
        <v>41320</v>
      </c>
      <c r="E138" s="76">
        <v>14123</v>
      </c>
      <c r="F138" s="150">
        <v>94.55</v>
      </c>
      <c r="G138" s="195">
        <f t="shared" si="27"/>
        <v>13353.296499999999</v>
      </c>
      <c r="H138" s="287"/>
      <c r="I138" s="371">
        <v>41369</v>
      </c>
      <c r="J138" s="340">
        <v>92.4</v>
      </c>
      <c r="K138" s="197">
        <f t="shared" si="28"/>
        <v>13049.652000000002</v>
      </c>
      <c r="L138" s="180">
        <f t="shared" si="29"/>
        <v>-303.6444999999967</v>
      </c>
      <c r="M138" s="168">
        <v>1.5232000000000001</v>
      </c>
      <c r="N138" s="292">
        <f t="shared" si="30"/>
        <v>-462.51130239999497</v>
      </c>
      <c r="O138" s="287"/>
      <c r="P138" s="287"/>
    </row>
    <row r="139" spans="1:16" s="117" customFormat="1" ht="15" customHeight="1" x14ac:dyDescent="0.2">
      <c r="A139" s="2" t="s">
        <v>1053</v>
      </c>
      <c r="B139" s="84" t="s">
        <v>1052</v>
      </c>
      <c r="C139" s="84" t="s">
        <v>53</v>
      </c>
      <c r="D139" s="77">
        <v>41330</v>
      </c>
      <c r="E139" s="76">
        <v>3390</v>
      </c>
      <c r="F139" s="150">
        <v>501.8</v>
      </c>
      <c r="G139" s="195">
        <f t="shared" si="27"/>
        <v>17011.02</v>
      </c>
      <c r="H139" s="287"/>
      <c r="I139" s="371">
        <v>41369</v>
      </c>
      <c r="J139" s="340">
        <v>493.4</v>
      </c>
      <c r="K139" s="197">
        <f t="shared" si="28"/>
        <v>16726.259999999998</v>
      </c>
      <c r="L139" s="180">
        <f t="shared" si="29"/>
        <v>-284.76000000000204</v>
      </c>
      <c r="M139" s="168">
        <v>1.5232000000000001</v>
      </c>
      <c r="N139" s="292">
        <f t="shared" si="30"/>
        <v>-433.74643200000315</v>
      </c>
      <c r="O139" s="287"/>
      <c r="P139" s="287"/>
    </row>
    <row r="140" spans="1:16" s="117" customFormat="1" ht="15" customHeight="1" x14ac:dyDescent="0.2">
      <c r="A140" s="2" t="s">
        <v>1113</v>
      </c>
      <c r="B140" s="84" t="s">
        <v>1114</v>
      </c>
      <c r="C140" s="84" t="s">
        <v>53</v>
      </c>
      <c r="D140" s="77">
        <v>41354</v>
      </c>
      <c r="E140" s="76">
        <v>6245</v>
      </c>
      <c r="F140" s="150">
        <v>274.89999999999998</v>
      </c>
      <c r="G140" s="195">
        <f t="shared" si="27"/>
        <v>17167.504999999997</v>
      </c>
      <c r="H140" s="287"/>
      <c r="I140" s="371">
        <v>41369</v>
      </c>
      <c r="J140" s="340">
        <v>263.89999999999998</v>
      </c>
      <c r="K140" s="197">
        <f t="shared" si="28"/>
        <v>16480.554999999997</v>
      </c>
      <c r="L140" s="180">
        <f t="shared" si="29"/>
        <v>-686.95000000000073</v>
      </c>
      <c r="M140" s="168">
        <v>1.5232000000000001</v>
      </c>
      <c r="N140" s="292">
        <f t="shared" si="30"/>
        <v>-1046.3622400000013</v>
      </c>
      <c r="O140" s="287"/>
      <c r="P140" s="287"/>
    </row>
    <row r="141" spans="1:16" s="117" customFormat="1" ht="15" customHeight="1" x14ac:dyDescent="0.2">
      <c r="A141" s="2" t="s">
        <v>733</v>
      </c>
      <c r="B141" s="84" t="s">
        <v>734</v>
      </c>
      <c r="C141" s="84" t="s">
        <v>53</v>
      </c>
      <c r="D141" s="77">
        <v>41320</v>
      </c>
      <c r="E141" s="76">
        <v>3836</v>
      </c>
      <c r="F141" s="150">
        <v>450.7</v>
      </c>
      <c r="G141" s="195">
        <f t="shared" ref="G141:G146" si="31">SUM(E141*F141)/100</f>
        <v>17288.851999999999</v>
      </c>
      <c r="H141" s="287"/>
      <c r="I141" s="371">
        <v>41372</v>
      </c>
      <c r="J141" s="340">
        <v>465.5</v>
      </c>
      <c r="K141" s="197">
        <f t="shared" ref="K141:K146" si="32">SUM(E141*J141)/100</f>
        <v>17856.580000000002</v>
      </c>
      <c r="L141" s="180">
        <f t="shared" ref="L141:L146" si="33">SUM(K141-G141)</f>
        <v>567.72800000000279</v>
      </c>
      <c r="M141" s="168">
        <v>1.53094</v>
      </c>
      <c r="N141" s="292">
        <f t="shared" ref="N141:N146" si="34">SUM(K141-G141)*M141</f>
        <v>869.15750432000425</v>
      </c>
      <c r="O141" s="287"/>
      <c r="P141" s="287"/>
    </row>
    <row r="142" spans="1:16" s="117" customFormat="1" ht="15" customHeight="1" x14ac:dyDescent="0.2">
      <c r="A142" s="2" t="s">
        <v>1083</v>
      </c>
      <c r="B142" s="84" t="s">
        <v>1084</v>
      </c>
      <c r="C142" s="84" t="s">
        <v>53</v>
      </c>
      <c r="D142" s="77">
        <v>41338</v>
      </c>
      <c r="E142" s="76">
        <v>1130</v>
      </c>
      <c r="F142" s="150">
        <v>1235</v>
      </c>
      <c r="G142" s="195">
        <f t="shared" si="31"/>
        <v>13955.5</v>
      </c>
      <c r="H142" s="287"/>
      <c r="I142" s="371">
        <v>41373</v>
      </c>
      <c r="J142" s="340">
        <v>1235</v>
      </c>
      <c r="K142" s="197">
        <f t="shared" si="32"/>
        <v>13955.5</v>
      </c>
      <c r="L142" s="180">
        <f t="shared" si="33"/>
        <v>0</v>
      </c>
      <c r="M142" s="168">
        <v>1.5252399999999999</v>
      </c>
      <c r="N142" s="292">
        <f t="shared" si="34"/>
        <v>0</v>
      </c>
      <c r="O142" s="287"/>
      <c r="P142" s="287"/>
    </row>
    <row r="143" spans="1:16" s="117" customFormat="1" ht="15" customHeight="1" x14ac:dyDescent="0.2">
      <c r="A143" s="2" t="s">
        <v>1001</v>
      </c>
      <c r="B143" s="84" t="s">
        <v>1004</v>
      </c>
      <c r="C143" s="84" t="s">
        <v>53</v>
      </c>
      <c r="D143" s="77">
        <v>41320</v>
      </c>
      <c r="E143" s="76">
        <v>706</v>
      </c>
      <c r="F143" s="150">
        <v>2551</v>
      </c>
      <c r="G143" s="195">
        <f t="shared" si="31"/>
        <v>18010.060000000001</v>
      </c>
      <c r="H143" s="287"/>
      <c r="I143" s="371">
        <v>41376</v>
      </c>
      <c r="J143" s="340">
        <v>2613</v>
      </c>
      <c r="K143" s="197">
        <f t="shared" si="32"/>
        <v>18447.78</v>
      </c>
      <c r="L143" s="180">
        <f t="shared" si="33"/>
        <v>437.71999999999753</v>
      </c>
      <c r="M143" s="168">
        <v>1.53837</v>
      </c>
      <c r="N143" s="292">
        <f t="shared" si="34"/>
        <v>673.37531639999622</v>
      </c>
      <c r="O143" s="287"/>
      <c r="P143" s="287"/>
    </row>
    <row r="144" spans="1:16" s="119" customFormat="1" ht="15" customHeight="1" x14ac:dyDescent="0.2">
      <c r="A144" s="84" t="s">
        <v>800</v>
      </c>
      <c r="B144" s="277" t="s">
        <v>801</v>
      </c>
      <c r="C144" s="84" t="s">
        <v>53</v>
      </c>
      <c r="D144" s="144">
        <v>41152</v>
      </c>
      <c r="E144" s="158">
        <v>1971</v>
      </c>
      <c r="F144" s="159">
        <v>910</v>
      </c>
      <c r="G144" s="195">
        <f t="shared" si="31"/>
        <v>17936.099999999999</v>
      </c>
      <c r="H144" s="287"/>
      <c r="I144" s="371">
        <v>41383</v>
      </c>
      <c r="J144" s="383">
        <v>1047</v>
      </c>
      <c r="K144" s="197">
        <f t="shared" si="32"/>
        <v>20636.37</v>
      </c>
      <c r="L144" s="180">
        <f t="shared" si="33"/>
        <v>2700.2700000000004</v>
      </c>
      <c r="M144" s="168">
        <v>1.52776</v>
      </c>
      <c r="N144" s="292">
        <f t="shared" si="34"/>
        <v>4125.3644952000004</v>
      </c>
      <c r="O144" s="118"/>
      <c r="P144" s="118"/>
    </row>
    <row r="145" spans="1:26" s="377" customFormat="1" ht="15" customHeight="1" x14ac:dyDescent="0.2">
      <c r="A145" s="376" t="s">
        <v>828</v>
      </c>
      <c r="B145" s="379" t="s">
        <v>829</v>
      </c>
      <c r="C145" s="376" t="s">
        <v>53</v>
      </c>
      <c r="D145" s="364">
        <v>41285</v>
      </c>
      <c r="E145" s="379">
        <v>2119</v>
      </c>
      <c r="F145" s="365">
        <v>790.4</v>
      </c>
      <c r="G145" s="380">
        <f t="shared" si="31"/>
        <v>16748.575999999997</v>
      </c>
      <c r="H145" s="378"/>
      <c r="I145" s="371">
        <v>41383</v>
      </c>
      <c r="J145" s="383">
        <v>840.3</v>
      </c>
      <c r="K145" s="359">
        <f t="shared" si="32"/>
        <v>17805.956999999999</v>
      </c>
      <c r="L145" s="349">
        <f t="shared" si="33"/>
        <v>1057.3810000000012</v>
      </c>
      <c r="M145" s="168">
        <v>1.52776</v>
      </c>
      <c r="N145" s="292">
        <f t="shared" si="34"/>
        <v>1615.4243965600019</v>
      </c>
    </row>
    <row r="146" spans="1:26" s="378" customFormat="1" ht="15" customHeight="1" x14ac:dyDescent="0.2">
      <c r="A146" s="374" t="s">
        <v>963</v>
      </c>
      <c r="B146" s="376" t="s">
        <v>703</v>
      </c>
      <c r="C146" s="376" t="s">
        <v>53</v>
      </c>
      <c r="D146" s="338">
        <v>41311</v>
      </c>
      <c r="E146" s="376">
        <v>2612</v>
      </c>
      <c r="F146" s="340">
        <v>474.4</v>
      </c>
      <c r="G146" s="380">
        <f t="shared" si="31"/>
        <v>12391.328000000001</v>
      </c>
      <c r="I146" s="371">
        <v>41390</v>
      </c>
      <c r="J146" s="340">
        <v>485</v>
      </c>
      <c r="K146" s="359">
        <f t="shared" si="32"/>
        <v>12668.2</v>
      </c>
      <c r="L146" s="349">
        <f t="shared" si="33"/>
        <v>276.87199999999939</v>
      </c>
      <c r="M146" s="168">
        <v>1</v>
      </c>
      <c r="N146" s="292">
        <f t="shared" si="34"/>
        <v>276.87199999999939</v>
      </c>
    </row>
    <row r="147" spans="1:26" s="377" customFormat="1" ht="15" customHeight="1" x14ac:dyDescent="0.2">
      <c r="A147" s="376" t="s">
        <v>806</v>
      </c>
      <c r="B147" s="379" t="s">
        <v>807</v>
      </c>
      <c r="C147" s="376" t="s">
        <v>53</v>
      </c>
      <c r="D147" s="364">
        <v>41159</v>
      </c>
      <c r="E147" s="379">
        <v>527</v>
      </c>
      <c r="F147" s="365">
        <v>3676</v>
      </c>
      <c r="G147" s="380">
        <f t="shared" ref="G147:G159" si="35">SUM(E147*F147)/100</f>
        <v>19372.52</v>
      </c>
      <c r="H147" s="378"/>
      <c r="I147" s="371">
        <v>41432</v>
      </c>
      <c r="J147" s="383">
        <v>4482</v>
      </c>
      <c r="K147" s="359">
        <f t="shared" ref="K147:K159" si="36">SUM(E147*J147)/100</f>
        <v>23620.14</v>
      </c>
      <c r="L147" s="349">
        <f t="shared" ref="L147:L159" si="37">SUM(K147-G147)</f>
        <v>4247.619999999999</v>
      </c>
      <c r="M147" s="168">
        <v>1.5539000000000001</v>
      </c>
      <c r="N147" s="292">
        <f t="shared" ref="N147:N159" si="38">SUM(K147-G147)*M147</f>
        <v>6600.3767179999986</v>
      </c>
      <c r="O147" s="378"/>
    </row>
    <row r="148" spans="1:26" s="377" customFormat="1" ht="15" customHeight="1" x14ac:dyDescent="0.2">
      <c r="A148" s="376" t="s">
        <v>810</v>
      </c>
      <c r="B148" s="379" t="s">
        <v>811</v>
      </c>
      <c r="C148" s="376" t="s">
        <v>53</v>
      </c>
      <c r="D148" s="364">
        <v>41165</v>
      </c>
      <c r="E148" s="379">
        <v>32554</v>
      </c>
      <c r="F148" s="365">
        <v>98.25</v>
      </c>
      <c r="G148" s="380">
        <f t="shared" si="35"/>
        <v>31984.305</v>
      </c>
      <c r="H148" s="378"/>
      <c r="I148" s="371">
        <v>41449</v>
      </c>
      <c r="J148" s="383">
        <v>125.8</v>
      </c>
      <c r="K148" s="359">
        <f t="shared" si="36"/>
        <v>40952.932000000001</v>
      </c>
      <c r="L148" s="349">
        <f t="shared" si="37"/>
        <v>8968.6270000000004</v>
      </c>
      <c r="M148" s="168">
        <v>1.5376000000000001</v>
      </c>
      <c r="N148" s="292">
        <f t="shared" si="38"/>
        <v>13790.160875200001</v>
      </c>
      <c r="O148" s="378"/>
    </row>
    <row r="149" spans="1:26" s="377" customFormat="1" ht="15" customHeight="1" x14ac:dyDescent="0.2">
      <c r="A149" s="376" t="s">
        <v>818</v>
      </c>
      <c r="B149" s="379" t="s">
        <v>819</v>
      </c>
      <c r="C149" s="78" t="s">
        <v>53</v>
      </c>
      <c r="D149" s="364">
        <v>41250</v>
      </c>
      <c r="E149" s="379">
        <v>872</v>
      </c>
      <c r="F149" s="365">
        <v>1626</v>
      </c>
      <c r="G149" s="380">
        <f t="shared" si="35"/>
        <v>14178.72</v>
      </c>
      <c r="H149" s="378"/>
      <c r="I149" s="371">
        <v>41430</v>
      </c>
      <c r="J149" s="383">
        <v>2298</v>
      </c>
      <c r="K149" s="359">
        <f t="shared" si="36"/>
        <v>20038.560000000001</v>
      </c>
      <c r="L149" s="349">
        <f t="shared" si="37"/>
        <v>5859.840000000002</v>
      </c>
      <c r="M149" s="168">
        <v>1.5379</v>
      </c>
      <c r="N149" s="292">
        <f t="shared" si="38"/>
        <v>9011.8479360000038</v>
      </c>
      <c r="O149" s="378"/>
    </row>
    <row r="150" spans="1:26" s="377" customFormat="1" ht="15" customHeight="1" x14ac:dyDescent="0.2">
      <c r="A150" s="376" t="s">
        <v>719</v>
      </c>
      <c r="B150" s="379" t="s">
        <v>720</v>
      </c>
      <c r="C150" s="376" t="s">
        <v>53</v>
      </c>
      <c r="D150" s="364">
        <v>41264</v>
      </c>
      <c r="E150" s="379">
        <v>8040</v>
      </c>
      <c r="F150" s="365">
        <v>382.9</v>
      </c>
      <c r="G150" s="380">
        <f t="shared" si="35"/>
        <v>30785.16</v>
      </c>
      <c r="H150" s="378"/>
      <c r="I150" s="371">
        <v>41430</v>
      </c>
      <c r="J150" s="383">
        <v>441.7</v>
      </c>
      <c r="K150" s="359">
        <f t="shared" si="36"/>
        <v>35512.68</v>
      </c>
      <c r="L150" s="349">
        <f t="shared" si="37"/>
        <v>4727.5200000000004</v>
      </c>
      <c r="M150" s="168">
        <v>1.5512999999999999</v>
      </c>
      <c r="N150" s="292">
        <f t="shared" si="38"/>
        <v>7333.8017760000002</v>
      </c>
      <c r="O150" s="378"/>
    </row>
    <row r="151" spans="1:26" s="377" customFormat="1" ht="15" customHeight="1" x14ac:dyDescent="0.2">
      <c r="A151" s="376" t="s">
        <v>824</v>
      </c>
      <c r="B151" s="379" t="s">
        <v>825</v>
      </c>
      <c r="C151" s="376" t="s">
        <v>53</v>
      </c>
      <c r="D151" s="364">
        <v>41264</v>
      </c>
      <c r="E151" s="379">
        <v>8040</v>
      </c>
      <c r="F151" s="365">
        <v>292</v>
      </c>
      <c r="G151" s="380">
        <f t="shared" si="35"/>
        <v>23476.799999999999</v>
      </c>
      <c r="H151" s="378"/>
      <c r="I151" s="371">
        <v>41431</v>
      </c>
      <c r="J151" s="383">
        <v>333.1</v>
      </c>
      <c r="K151" s="359">
        <f t="shared" si="36"/>
        <v>26781.24</v>
      </c>
      <c r="L151" s="349">
        <f t="shared" si="37"/>
        <v>3304.4400000000023</v>
      </c>
      <c r="M151" s="168">
        <v>1.5512999999999999</v>
      </c>
      <c r="N151" s="292">
        <f t="shared" si="38"/>
        <v>5126.1777720000036</v>
      </c>
      <c r="O151" s="378"/>
    </row>
    <row r="152" spans="1:26" s="377" customFormat="1" ht="15" customHeight="1" x14ac:dyDescent="0.2">
      <c r="A152" s="376" t="s">
        <v>830</v>
      </c>
      <c r="B152" s="379" t="s">
        <v>504</v>
      </c>
      <c r="C152" s="376" t="s">
        <v>53</v>
      </c>
      <c r="D152" s="364">
        <v>41285</v>
      </c>
      <c r="E152" s="379">
        <v>1865</v>
      </c>
      <c r="F152" s="365">
        <v>905</v>
      </c>
      <c r="G152" s="380">
        <f t="shared" si="35"/>
        <v>16878.25</v>
      </c>
      <c r="H152" s="378"/>
      <c r="I152" s="371">
        <v>41418</v>
      </c>
      <c r="J152" s="383">
        <v>999.6</v>
      </c>
      <c r="K152" s="359">
        <f t="shared" si="36"/>
        <v>18642.54</v>
      </c>
      <c r="L152" s="349">
        <f t="shared" si="37"/>
        <v>1764.2900000000009</v>
      </c>
      <c r="M152" s="168">
        <v>1.5206999999999999</v>
      </c>
      <c r="N152" s="292">
        <f t="shared" si="38"/>
        <v>2682.9558030000012</v>
      </c>
      <c r="O152" s="378"/>
    </row>
    <row r="153" spans="1:26" s="377" customFormat="1" ht="15" customHeight="1" x14ac:dyDescent="0.2">
      <c r="A153" s="376" t="s">
        <v>835</v>
      </c>
      <c r="B153" s="379" t="s">
        <v>836</v>
      </c>
      <c r="C153" s="376" t="s">
        <v>53</v>
      </c>
      <c r="D153" s="364">
        <v>41292</v>
      </c>
      <c r="E153" s="379">
        <v>3309</v>
      </c>
      <c r="F153" s="365">
        <v>700</v>
      </c>
      <c r="G153" s="380">
        <f t="shared" si="35"/>
        <v>23163</v>
      </c>
      <c r="H153" s="378"/>
      <c r="I153" s="371">
        <v>41430</v>
      </c>
      <c r="J153" s="383">
        <v>759.5</v>
      </c>
      <c r="K153" s="359">
        <f t="shared" si="36"/>
        <v>25131.855</v>
      </c>
      <c r="L153" s="349">
        <f t="shared" si="37"/>
        <v>1968.8549999999996</v>
      </c>
      <c r="M153" s="168">
        <v>1.5188999999999999</v>
      </c>
      <c r="N153" s="292">
        <f t="shared" si="38"/>
        <v>2990.493859499999</v>
      </c>
      <c r="O153" s="378"/>
    </row>
    <row r="154" spans="1:26" s="377" customFormat="1" ht="15" customHeight="1" x14ac:dyDescent="0.2">
      <c r="A154" s="376" t="s">
        <v>837</v>
      </c>
      <c r="B154" s="379" t="s">
        <v>838</v>
      </c>
      <c r="C154" s="376" t="s">
        <v>53</v>
      </c>
      <c r="D154" s="364">
        <v>41299</v>
      </c>
      <c r="E154" s="379">
        <v>1319</v>
      </c>
      <c r="F154" s="365">
        <v>1228</v>
      </c>
      <c r="G154" s="380">
        <f t="shared" si="35"/>
        <v>16197.32</v>
      </c>
      <c r="H154" s="378"/>
      <c r="I154" s="371">
        <v>41394</v>
      </c>
      <c r="J154" s="383">
        <v>1286</v>
      </c>
      <c r="K154" s="359">
        <f t="shared" si="36"/>
        <v>16962.34</v>
      </c>
      <c r="L154" s="349">
        <f t="shared" si="37"/>
        <v>765.02000000000044</v>
      </c>
      <c r="M154" s="168">
        <v>1.5058</v>
      </c>
      <c r="N154" s="292">
        <f t="shared" si="38"/>
        <v>1151.9671160000007</v>
      </c>
      <c r="O154" s="378"/>
    </row>
    <row r="155" spans="1:26" s="378" customFormat="1" ht="15" customHeight="1" x14ac:dyDescent="0.2">
      <c r="A155" s="374" t="s">
        <v>1049</v>
      </c>
      <c r="B155" s="376" t="s">
        <v>1050</v>
      </c>
      <c r="C155" s="376" t="s">
        <v>53</v>
      </c>
      <c r="D155" s="338">
        <v>41330</v>
      </c>
      <c r="E155" s="376">
        <v>1937</v>
      </c>
      <c r="F155" s="340">
        <v>624</v>
      </c>
      <c r="G155" s="380">
        <f t="shared" si="35"/>
        <v>12086.88</v>
      </c>
      <c r="I155" s="371">
        <v>41424</v>
      </c>
      <c r="J155" s="340">
        <v>706.9</v>
      </c>
      <c r="K155" s="359">
        <f t="shared" si="36"/>
        <v>13692.653</v>
      </c>
      <c r="L155" s="349">
        <f t="shared" si="37"/>
        <v>1605.773000000001</v>
      </c>
      <c r="M155" s="168">
        <v>1.4771000000000001</v>
      </c>
      <c r="N155" s="292">
        <f t="shared" si="38"/>
        <v>2371.8872983000015</v>
      </c>
    </row>
    <row r="156" spans="1:26" s="378" customFormat="1" ht="15" customHeight="1" x14ac:dyDescent="0.2">
      <c r="A156" s="374" t="s">
        <v>1075</v>
      </c>
      <c r="B156" s="376" t="s">
        <v>1076</v>
      </c>
      <c r="C156" s="376" t="s">
        <v>53</v>
      </c>
      <c r="D156" s="338">
        <v>41337</v>
      </c>
      <c r="E156" s="376">
        <v>20954</v>
      </c>
      <c r="F156" s="340">
        <v>129.66</v>
      </c>
      <c r="G156" s="380">
        <f t="shared" si="35"/>
        <v>27168.956400000003</v>
      </c>
      <c r="I156" s="371">
        <v>41396</v>
      </c>
      <c r="J156" s="340">
        <v>131.19999999999999</v>
      </c>
      <c r="K156" s="359">
        <f t="shared" si="36"/>
        <v>27491.647999999997</v>
      </c>
      <c r="L156" s="349">
        <f t="shared" si="37"/>
        <v>322.69159999999465</v>
      </c>
      <c r="M156" s="168">
        <v>1.4833000000000001</v>
      </c>
      <c r="N156" s="292">
        <f t="shared" si="38"/>
        <v>478.64845027999206</v>
      </c>
    </row>
    <row r="157" spans="1:26" s="378" customFormat="1" ht="15" customHeight="1" x14ac:dyDescent="0.2">
      <c r="A157" s="374" t="s">
        <v>1082</v>
      </c>
      <c r="B157" s="376" t="s">
        <v>1081</v>
      </c>
      <c r="C157" s="376" t="s">
        <v>53</v>
      </c>
      <c r="D157" s="338">
        <v>41338</v>
      </c>
      <c r="E157" s="376">
        <v>1093</v>
      </c>
      <c r="F157" s="340">
        <v>1447</v>
      </c>
      <c r="G157" s="380">
        <f t="shared" si="35"/>
        <v>15815.71</v>
      </c>
      <c r="I157" s="371">
        <v>41400</v>
      </c>
      <c r="J157" s="340">
        <v>1447</v>
      </c>
      <c r="K157" s="359">
        <f t="shared" si="36"/>
        <v>15815.71</v>
      </c>
      <c r="L157" s="349">
        <f t="shared" si="37"/>
        <v>0</v>
      </c>
      <c r="M157" s="168">
        <v>1.4730000000000001</v>
      </c>
      <c r="N157" s="292">
        <f t="shared" si="38"/>
        <v>0</v>
      </c>
    </row>
    <row r="158" spans="1:26" s="378" customFormat="1" ht="15" customHeight="1" x14ac:dyDescent="0.2">
      <c r="A158" s="374" t="s">
        <v>1172</v>
      </c>
      <c r="B158" s="376" t="s">
        <v>1173</v>
      </c>
      <c r="C158" s="376" t="s">
        <v>53</v>
      </c>
      <c r="D158" s="338">
        <v>41388</v>
      </c>
      <c r="E158" s="376">
        <v>6393</v>
      </c>
      <c r="F158" s="340">
        <v>566.20000000000005</v>
      </c>
      <c r="G158" s="380">
        <f t="shared" si="35"/>
        <v>36197.165999999997</v>
      </c>
      <c r="I158" s="371">
        <v>41438</v>
      </c>
      <c r="J158" s="340">
        <v>688</v>
      </c>
      <c r="K158" s="359">
        <f t="shared" si="36"/>
        <v>43983.839999999997</v>
      </c>
      <c r="L158" s="349">
        <f t="shared" si="37"/>
        <v>7786.6739999999991</v>
      </c>
      <c r="M158" s="168">
        <v>1.4730000000000001</v>
      </c>
      <c r="N158" s="292">
        <f t="shared" si="38"/>
        <v>11469.770801999999</v>
      </c>
    </row>
    <row r="159" spans="1:26" s="378" customFormat="1" ht="15" customHeight="1" x14ac:dyDescent="0.2">
      <c r="A159" s="374" t="s">
        <v>1176</v>
      </c>
      <c r="B159" s="376" t="s">
        <v>1177</v>
      </c>
      <c r="C159" s="376" t="s">
        <v>53</v>
      </c>
      <c r="D159" s="338">
        <v>41388</v>
      </c>
      <c r="E159" s="376">
        <v>14182</v>
      </c>
      <c r="F159" s="340">
        <v>442.5</v>
      </c>
      <c r="G159" s="380">
        <f t="shared" si="35"/>
        <v>62755.35</v>
      </c>
      <c r="I159" s="371">
        <v>41489</v>
      </c>
      <c r="J159" s="340">
        <v>449.4</v>
      </c>
      <c r="K159" s="359">
        <f t="shared" si="36"/>
        <v>63733.907999999996</v>
      </c>
      <c r="L159" s="349">
        <f t="shared" si="37"/>
        <v>978.55799999999726</v>
      </c>
      <c r="M159" s="168">
        <v>1.4730000000000001</v>
      </c>
      <c r="N159" s="292">
        <f t="shared" si="38"/>
        <v>1441.415933999996</v>
      </c>
    </row>
    <row r="160" spans="1:26" s="378" customFormat="1" ht="15" customHeight="1" x14ac:dyDescent="0.2">
      <c r="A160" s="374" t="s">
        <v>1254</v>
      </c>
      <c r="B160" s="376" t="s">
        <v>1255</v>
      </c>
      <c r="C160" s="376" t="s">
        <v>53</v>
      </c>
      <c r="D160" s="364">
        <v>41414</v>
      </c>
      <c r="E160" s="379">
        <v>1351</v>
      </c>
      <c r="F160" s="340">
        <v>2640</v>
      </c>
      <c r="G160" s="380">
        <f t="shared" ref="G160:G164" si="39">SUM(E160*F160)/100</f>
        <v>35666.400000000001</v>
      </c>
      <c r="H160" s="342"/>
      <c r="I160" s="364">
        <v>41428</v>
      </c>
      <c r="J160" s="376">
        <v>2518</v>
      </c>
      <c r="K160" s="359">
        <f t="shared" ref="K160:K164" si="40">SUM(E160*J160)/100</f>
        <v>34018.18</v>
      </c>
      <c r="L160" s="349">
        <f t="shared" ref="L160:L164" si="41">SUM(K160-G160)</f>
        <v>-1648.2200000000012</v>
      </c>
      <c r="M160" s="168">
        <v>1.5195700000000001</v>
      </c>
      <c r="N160" s="292">
        <f t="shared" ref="N160:N164" si="42">SUM(K160-G160)*M160</f>
        <v>-2504.5856654000017</v>
      </c>
      <c r="O160" s="379"/>
      <c r="P160" s="336" t="s">
        <v>3</v>
      </c>
      <c r="Q160" s="374" t="s">
        <v>3</v>
      </c>
      <c r="R160" s="376"/>
      <c r="S160" s="376"/>
      <c r="T160" s="338"/>
      <c r="U160" s="376"/>
      <c r="V160" s="340"/>
      <c r="W160" s="380"/>
      <c r="Y160" s="342"/>
      <c r="Z160" s="379"/>
    </row>
    <row r="161" spans="1:26" s="378" customFormat="1" ht="15" customHeight="1" x14ac:dyDescent="0.2">
      <c r="A161" s="374" t="s">
        <v>1256</v>
      </c>
      <c r="B161" s="376" t="s">
        <v>1257</v>
      </c>
      <c r="C161" s="376" t="s">
        <v>53</v>
      </c>
      <c r="D161" s="364">
        <v>41415</v>
      </c>
      <c r="E161" s="379">
        <v>1642</v>
      </c>
      <c r="F161" s="340">
        <v>3456</v>
      </c>
      <c r="G161" s="380">
        <f t="shared" si="39"/>
        <v>56747.519999999997</v>
      </c>
      <c r="H161" s="342"/>
      <c r="I161" s="364">
        <v>41430</v>
      </c>
      <c r="J161" s="376">
        <v>3356</v>
      </c>
      <c r="K161" s="359">
        <f t="shared" si="40"/>
        <v>55105.52</v>
      </c>
      <c r="L161" s="349">
        <f t="shared" si="41"/>
        <v>-1642</v>
      </c>
      <c r="M161" s="168">
        <v>1.5310299999999999</v>
      </c>
      <c r="N161" s="292">
        <f t="shared" si="42"/>
        <v>-2513.9512599999998</v>
      </c>
      <c r="O161" s="379"/>
      <c r="P161" s="336" t="s">
        <v>3</v>
      </c>
      <c r="Q161" s="379" t="s">
        <v>3</v>
      </c>
      <c r="R161" s="379"/>
      <c r="S161" s="379"/>
      <c r="T161" s="379"/>
      <c r="U161" s="379"/>
      <c r="V161" s="379"/>
      <c r="W161" s="379"/>
      <c r="X161" s="379"/>
      <c r="Y161" s="379"/>
      <c r="Z161" s="379"/>
    </row>
    <row r="162" spans="1:26" s="378" customFormat="1" ht="15" customHeight="1" x14ac:dyDescent="0.2">
      <c r="A162" s="374" t="s">
        <v>1258</v>
      </c>
      <c r="B162" s="376" t="s">
        <v>760</v>
      </c>
      <c r="C162" s="376" t="s">
        <v>53</v>
      </c>
      <c r="D162" s="364">
        <v>41442</v>
      </c>
      <c r="E162" s="379">
        <v>25473</v>
      </c>
      <c r="F162" s="340">
        <v>138</v>
      </c>
      <c r="G162" s="380">
        <f t="shared" si="39"/>
        <v>35152.74</v>
      </c>
      <c r="H162" s="342"/>
      <c r="I162" s="364">
        <v>41449</v>
      </c>
      <c r="J162" s="376">
        <v>131.6</v>
      </c>
      <c r="K162" s="359">
        <f t="shared" si="40"/>
        <v>33522.468000000001</v>
      </c>
      <c r="L162" s="349">
        <f t="shared" si="41"/>
        <v>-1630.2719999999972</v>
      </c>
      <c r="M162" s="168">
        <v>1.53799</v>
      </c>
      <c r="N162" s="292">
        <f t="shared" si="42"/>
        <v>-2507.3420332799956</v>
      </c>
      <c r="O162" s="379"/>
      <c r="P162" s="336" t="s">
        <v>3</v>
      </c>
      <c r="Q162" s="379" t="s">
        <v>3</v>
      </c>
      <c r="R162" s="379"/>
      <c r="S162" s="379"/>
      <c r="T162" s="379"/>
      <c r="U162" s="379"/>
      <c r="V162" s="379"/>
      <c r="W162" s="379"/>
      <c r="X162" s="379"/>
      <c r="Y162" s="379"/>
      <c r="Z162" s="379"/>
    </row>
    <row r="163" spans="1:26" s="378" customFormat="1" ht="15" customHeight="1" x14ac:dyDescent="0.2">
      <c r="A163" s="374" t="s">
        <v>1259</v>
      </c>
      <c r="B163" s="376" t="s">
        <v>1260</v>
      </c>
      <c r="C163" s="376" t="s">
        <v>53</v>
      </c>
      <c r="D163" s="364">
        <v>41480</v>
      </c>
      <c r="E163" s="379">
        <v>12284</v>
      </c>
      <c r="F163" s="340">
        <v>297.60000000000002</v>
      </c>
      <c r="G163" s="380">
        <f t="shared" si="39"/>
        <v>36557.184000000001</v>
      </c>
      <c r="H163" s="342"/>
      <c r="I163" s="364">
        <v>41492</v>
      </c>
      <c r="J163" s="376">
        <v>284.3</v>
      </c>
      <c r="K163" s="359">
        <f t="shared" si="40"/>
        <v>34923.412000000004</v>
      </c>
      <c r="L163" s="349">
        <f t="shared" si="41"/>
        <v>-1633.7719999999972</v>
      </c>
      <c r="M163" s="168">
        <v>1.53532</v>
      </c>
      <c r="N163" s="292">
        <f t="shared" si="42"/>
        <v>-2508.3628270399959</v>
      </c>
      <c r="O163" s="379"/>
      <c r="P163" s="336" t="s">
        <v>3</v>
      </c>
      <c r="Q163" s="379" t="s">
        <v>3</v>
      </c>
      <c r="R163" s="379"/>
      <c r="S163" s="379"/>
      <c r="T163" s="379"/>
      <c r="U163" s="379"/>
      <c r="V163" s="379"/>
      <c r="W163" s="379"/>
      <c r="X163" s="379"/>
      <c r="Y163" s="379"/>
      <c r="Z163" s="379"/>
    </row>
    <row r="164" spans="1:26" s="378" customFormat="1" ht="15" customHeight="1" x14ac:dyDescent="0.2">
      <c r="A164" s="374" t="s">
        <v>837</v>
      </c>
      <c r="B164" s="376" t="s">
        <v>838</v>
      </c>
      <c r="C164" s="376" t="s">
        <v>53</v>
      </c>
      <c r="D164" s="364">
        <v>41484</v>
      </c>
      <c r="E164" s="379">
        <v>2814</v>
      </c>
      <c r="F164" s="340">
        <v>1407</v>
      </c>
      <c r="G164" s="380">
        <f t="shared" si="39"/>
        <v>39592.980000000003</v>
      </c>
      <c r="H164" s="342"/>
      <c r="I164" s="440">
        <v>41488</v>
      </c>
      <c r="J164" s="376">
        <v>1349</v>
      </c>
      <c r="K164" s="359">
        <f t="shared" si="40"/>
        <v>37960.86</v>
      </c>
      <c r="L164" s="349">
        <f t="shared" si="41"/>
        <v>-1632.1200000000026</v>
      </c>
      <c r="M164" s="168">
        <v>1.5118799999999999</v>
      </c>
      <c r="N164" s="292">
        <f t="shared" si="42"/>
        <v>-2467.5695856000038</v>
      </c>
      <c r="O164" s="379"/>
      <c r="P164" s="336" t="s">
        <v>3</v>
      </c>
      <c r="Q164" s="379" t="s">
        <v>3</v>
      </c>
      <c r="R164" s="379"/>
      <c r="S164" s="379"/>
      <c r="T164" s="379"/>
      <c r="U164" s="379"/>
      <c r="V164" s="379"/>
      <c r="W164" s="379"/>
      <c r="X164" s="379"/>
      <c r="Y164" s="379"/>
      <c r="Z164" s="379"/>
    </row>
    <row r="165" spans="1:26" s="468" customFormat="1" ht="15" customHeight="1" x14ac:dyDescent="0.2">
      <c r="A165" s="457" t="s">
        <v>1313</v>
      </c>
      <c r="B165" s="458" t="s">
        <v>1314</v>
      </c>
      <c r="C165" s="458" t="s">
        <v>53</v>
      </c>
      <c r="D165" s="459">
        <v>41516</v>
      </c>
      <c r="E165" s="460">
        <v>65338</v>
      </c>
      <c r="F165" s="461">
        <v>115.64</v>
      </c>
      <c r="G165" s="462">
        <f>SUM(E165*F165)/100</f>
        <v>75556.863200000007</v>
      </c>
      <c r="H165" s="463"/>
      <c r="I165" s="469">
        <v>41541</v>
      </c>
      <c r="J165" s="461">
        <v>114.7</v>
      </c>
      <c r="K165" s="464">
        <f>SUM(E165*J165)/100</f>
        <v>74942.686000000002</v>
      </c>
      <c r="L165" s="465">
        <f>SUM(K165-G165)</f>
        <v>-614.17720000000554</v>
      </c>
      <c r="M165" s="466">
        <v>1.60405</v>
      </c>
      <c r="N165" s="467">
        <f>SUM(K165-G165)*M165</f>
        <v>-985.17093766000892</v>
      </c>
      <c r="O165" s="463"/>
      <c r="P165" s="463"/>
    </row>
    <row r="166" spans="1:26" s="117" customFormat="1" ht="15" customHeight="1" x14ac:dyDescent="0.2">
      <c r="A166" s="337" t="s">
        <v>1334</v>
      </c>
      <c r="B166" s="339" t="s">
        <v>1335</v>
      </c>
      <c r="C166" s="339" t="s">
        <v>53</v>
      </c>
      <c r="D166" s="338">
        <v>41519</v>
      </c>
      <c r="E166" s="376">
        <v>11325</v>
      </c>
      <c r="F166" s="340">
        <v>268.3</v>
      </c>
      <c r="G166" s="380">
        <f>SUM(E166*F166)/100</f>
        <v>30384.974999999999</v>
      </c>
      <c r="H166" s="378"/>
      <c r="I166" s="320">
        <v>41540</v>
      </c>
      <c r="J166" s="340">
        <v>256.3</v>
      </c>
      <c r="K166" s="359">
        <f>SUM(E166*J166)/100</f>
        <v>29025.974999999999</v>
      </c>
      <c r="L166" s="349">
        <f>SUM(K166-G166)</f>
        <v>-1359</v>
      </c>
      <c r="M166" s="168">
        <v>1.6004</v>
      </c>
      <c r="N166" s="292">
        <f>SUM(K166-G166)*M166</f>
        <v>-2174.9436000000001</v>
      </c>
      <c r="O166" s="378"/>
      <c r="P166" s="378"/>
    </row>
    <row r="167" spans="1:26" s="117" customFormat="1" ht="15" customHeight="1" x14ac:dyDescent="0.2">
      <c r="A167" s="337" t="s">
        <v>1346</v>
      </c>
      <c r="B167" s="339" t="s">
        <v>1347</v>
      </c>
      <c r="C167" s="339" t="s">
        <v>53</v>
      </c>
      <c r="D167" s="338">
        <v>41527</v>
      </c>
      <c r="E167" s="376">
        <v>1907</v>
      </c>
      <c r="F167" s="340">
        <v>1639</v>
      </c>
      <c r="G167" s="380">
        <f>SUM(E167*F167)/100</f>
        <v>31255.73</v>
      </c>
      <c r="H167" s="378"/>
      <c r="I167" s="320">
        <v>41544</v>
      </c>
      <c r="J167" s="340">
        <v>1529</v>
      </c>
      <c r="K167" s="359">
        <f>SUM(E167*J167)/100</f>
        <v>29158.03</v>
      </c>
      <c r="L167" s="349">
        <f>SUM(K167-G167)</f>
        <v>-2097.7000000000007</v>
      </c>
      <c r="M167" s="168">
        <v>1.6039000000000001</v>
      </c>
      <c r="N167" s="292">
        <f>SUM(K167-G167)*M167</f>
        <v>-3364.5010300000013</v>
      </c>
      <c r="O167" s="378"/>
      <c r="P167" s="378"/>
    </row>
    <row r="168" spans="1:26" s="119" customFormat="1" ht="15" customHeight="1" x14ac:dyDescent="0.2">
      <c r="A168" s="84" t="s">
        <v>814</v>
      </c>
      <c r="B168" s="339" t="s">
        <v>815</v>
      </c>
      <c r="C168" s="80" t="s">
        <v>53</v>
      </c>
      <c r="D168" s="338">
        <v>41187</v>
      </c>
      <c r="E168" s="376">
        <v>4104</v>
      </c>
      <c r="F168" s="386">
        <v>556.19000000000005</v>
      </c>
      <c r="G168" s="380">
        <f t="shared" ref="G168" si="43">SUM(E168*F168)/100</f>
        <v>22826.037600000003</v>
      </c>
      <c r="H168" s="387"/>
      <c r="I168" s="320">
        <v>41549</v>
      </c>
      <c r="J168" s="383">
        <v>831</v>
      </c>
      <c r="K168" s="359">
        <f t="shared" ref="K168" si="44">SUM(E168*J168)/100</f>
        <v>34104.239999999998</v>
      </c>
      <c r="L168" s="349">
        <f t="shared" ref="L168" si="45">SUM(K168-G168)</f>
        <v>11278.202399999995</v>
      </c>
      <c r="M168" s="168">
        <v>1.6192899999999999</v>
      </c>
      <c r="N168" s="292">
        <f t="shared" ref="N168" si="46">SUM(K168-G168)*M168</f>
        <v>18262.680364295989</v>
      </c>
      <c r="O168" s="118"/>
      <c r="P168" s="118"/>
    </row>
    <row r="169" spans="1:26" s="117" customFormat="1" ht="15" customHeight="1" x14ac:dyDescent="0.2">
      <c r="A169" s="2" t="s">
        <v>1175</v>
      </c>
      <c r="B169" s="339" t="s">
        <v>1174</v>
      </c>
      <c r="C169" s="84" t="s">
        <v>53</v>
      </c>
      <c r="D169" s="338">
        <v>41387</v>
      </c>
      <c r="E169" s="376">
        <v>13333</v>
      </c>
      <c r="F169" s="340">
        <v>303.3</v>
      </c>
      <c r="G169" s="380">
        <f t="shared" ref="G169" si="47">SUM(E169*F169)/100</f>
        <v>40438.989000000001</v>
      </c>
      <c r="H169" s="387"/>
      <c r="I169" s="320">
        <v>41549</v>
      </c>
      <c r="J169" s="340">
        <v>378.9</v>
      </c>
      <c r="K169" s="359">
        <f t="shared" ref="K169" si="48">SUM(E169*J169)/100</f>
        <v>50518.736999999994</v>
      </c>
      <c r="L169" s="349">
        <f t="shared" ref="L169" si="49">SUM(K169-G169)</f>
        <v>10079.747999999992</v>
      </c>
      <c r="M169" s="168">
        <v>1.6192899999999999</v>
      </c>
      <c r="N169" s="292">
        <f t="shared" ref="N169" si="50">SUM(K169-G169)*M169</f>
        <v>16322.035138919986</v>
      </c>
      <c r="O169" s="287"/>
      <c r="P169" s="287"/>
    </row>
    <row r="170" spans="1:26" s="117" customFormat="1" ht="15" customHeight="1" x14ac:dyDescent="0.2">
      <c r="A170" s="337" t="s">
        <v>1299</v>
      </c>
      <c r="B170" s="199" t="s">
        <v>1102</v>
      </c>
      <c r="C170" s="199" t="s">
        <v>53</v>
      </c>
      <c r="D170" s="200">
        <v>41509</v>
      </c>
      <c r="E170" s="198">
        <v>1755</v>
      </c>
      <c r="F170" s="201">
        <v>1602</v>
      </c>
      <c r="G170" s="380">
        <f t="shared" ref="G170:G176" si="51">SUM(E170*F170)/100</f>
        <v>28115.1</v>
      </c>
      <c r="H170" s="378"/>
      <c r="I170" s="320">
        <v>41556</v>
      </c>
      <c r="J170" s="201">
        <v>1575</v>
      </c>
      <c r="K170" s="359">
        <f t="shared" ref="K170:K176" si="52">SUM(E170*J170)/100</f>
        <v>27641.25</v>
      </c>
      <c r="L170" s="349">
        <f>SUM(K170-G170)</f>
        <v>-473.84999999999854</v>
      </c>
      <c r="M170" s="202">
        <v>1.6081099999999999</v>
      </c>
      <c r="N170" s="292">
        <f>SUM(K170-G170)*M170</f>
        <v>-762.00292349999768</v>
      </c>
      <c r="O170" s="378"/>
      <c r="P170" s="378"/>
    </row>
    <row r="171" spans="1:26" s="117" customFormat="1" ht="15" customHeight="1" x14ac:dyDescent="0.2">
      <c r="A171" s="337" t="s">
        <v>1432</v>
      </c>
      <c r="B171" s="339" t="s">
        <v>1433</v>
      </c>
      <c r="C171" s="339" t="s">
        <v>53</v>
      </c>
      <c r="D171" s="338">
        <v>41563</v>
      </c>
      <c r="E171" s="376">
        <v>3560</v>
      </c>
      <c r="F171" s="340">
        <v>835.5</v>
      </c>
      <c r="G171" s="380">
        <f t="shared" si="51"/>
        <v>29743.8</v>
      </c>
      <c r="H171" s="378"/>
      <c r="I171" s="320">
        <v>793.5</v>
      </c>
      <c r="J171" s="340">
        <v>807</v>
      </c>
      <c r="K171" s="359">
        <f t="shared" si="52"/>
        <v>28729.200000000001</v>
      </c>
      <c r="L171" s="349">
        <f>SUM(K171-G171)</f>
        <v>-1014.5999999999985</v>
      </c>
      <c r="M171" s="202">
        <v>1.6164000000000001</v>
      </c>
      <c r="N171" s="292">
        <f>SUM(K171-G171)*M171</f>
        <v>-1639.9994399999978</v>
      </c>
      <c r="O171" s="378"/>
      <c r="P171" s="378"/>
    </row>
    <row r="172" spans="1:26" s="117" customFormat="1" ht="15" customHeight="1" x14ac:dyDescent="0.2">
      <c r="A172" s="343" t="s">
        <v>725</v>
      </c>
      <c r="B172" s="334" t="s">
        <v>726</v>
      </c>
      <c r="C172" s="334" t="s">
        <v>78</v>
      </c>
      <c r="D172" s="335">
        <v>41549</v>
      </c>
      <c r="E172" s="85">
        <v>1506</v>
      </c>
      <c r="F172" s="341">
        <v>1497</v>
      </c>
      <c r="G172" s="196">
        <f t="shared" si="51"/>
        <v>22544.82</v>
      </c>
      <c r="H172" s="377"/>
      <c r="I172" s="320">
        <v>41575</v>
      </c>
      <c r="J172" s="341">
        <v>1599</v>
      </c>
      <c r="K172" s="353">
        <f t="shared" si="52"/>
        <v>24080.94</v>
      </c>
      <c r="L172" s="351">
        <f>SUM(G172-K172)</f>
        <v>-1536.119999999999</v>
      </c>
      <c r="M172" s="357">
        <v>1.6162000000000001</v>
      </c>
      <c r="N172" s="293">
        <f>SUM(G172-K172)*M172</f>
        <v>-2482.6771439999984</v>
      </c>
      <c r="O172" s="378"/>
      <c r="P172" s="378"/>
    </row>
    <row r="173" spans="1:26" s="117" customFormat="1" ht="15" customHeight="1" x14ac:dyDescent="0.2">
      <c r="A173" s="337" t="s">
        <v>1353</v>
      </c>
      <c r="B173" s="339" t="s">
        <v>1356</v>
      </c>
      <c r="C173" s="339" t="s">
        <v>53</v>
      </c>
      <c r="D173" s="338">
        <v>41535</v>
      </c>
      <c r="E173" s="376">
        <v>7215</v>
      </c>
      <c r="F173" s="340">
        <v>409</v>
      </c>
      <c r="G173" s="380">
        <f t="shared" si="51"/>
        <v>29509.35</v>
      </c>
      <c r="H173" s="378"/>
      <c r="I173" s="320">
        <v>41578</v>
      </c>
      <c r="J173" s="340">
        <v>422.07</v>
      </c>
      <c r="K173" s="359">
        <f t="shared" si="52"/>
        <v>30452.350499999997</v>
      </c>
      <c r="L173" s="349">
        <f>SUM(K173-G173)</f>
        <v>943.00049999999828</v>
      </c>
      <c r="M173" s="202">
        <v>1.6035999999999999</v>
      </c>
      <c r="N173" s="292">
        <f>SUM(K173-G173)*M173</f>
        <v>1512.1956017999971</v>
      </c>
      <c r="O173" s="378"/>
      <c r="P173" s="378"/>
    </row>
    <row r="174" spans="1:26" s="117" customFormat="1" ht="15" customHeight="1" x14ac:dyDescent="0.2">
      <c r="A174" s="337" t="s">
        <v>818</v>
      </c>
      <c r="B174" s="199" t="s">
        <v>819</v>
      </c>
      <c r="C174" s="199" t="s">
        <v>53</v>
      </c>
      <c r="D174" s="200">
        <v>41575</v>
      </c>
      <c r="E174" s="198">
        <v>1301</v>
      </c>
      <c r="F174" s="201">
        <v>2704</v>
      </c>
      <c r="G174" s="380">
        <f t="shared" si="51"/>
        <v>35179.040000000001</v>
      </c>
      <c r="H174" s="378"/>
      <c r="I174" s="319">
        <v>41578</v>
      </c>
      <c r="J174" s="201">
        <v>2574</v>
      </c>
      <c r="K174" s="359">
        <f t="shared" si="52"/>
        <v>33487.74</v>
      </c>
      <c r="L174" s="349">
        <f>SUM(K174-G174)</f>
        <v>-1691.3000000000029</v>
      </c>
      <c r="M174" s="202">
        <v>1.6035999999999999</v>
      </c>
      <c r="N174" s="292">
        <f>SUM(K174-G174)*M174</f>
        <v>-2712.1686800000043</v>
      </c>
      <c r="O174" s="378"/>
      <c r="P174" s="378"/>
    </row>
    <row r="175" spans="1:26" s="117" customFormat="1" ht="15" customHeight="1" x14ac:dyDescent="0.2">
      <c r="A175" s="337" t="s">
        <v>822</v>
      </c>
      <c r="B175" s="199" t="s">
        <v>823</v>
      </c>
      <c r="C175" s="199" t="s">
        <v>53</v>
      </c>
      <c r="D175" s="200">
        <v>41456</v>
      </c>
      <c r="E175" s="198">
        <v>44814</v>
      </c>
      <c r="F175" s="201">
        <v>64.599999999999994</v>
      </c>
      <c r="G175" s="380">
        <f t="shared" si="51"/>
        <v>28949.843999999997</v>
      </c>
      <c r="H175" s="387"/>
      <c r="I175" s="367">
        <v>41586</v>
      </c>
      <c r="J175" s="201">
        <v>73.239999999999995</v>
      </c>
      <c r="K175" s="359">
        <f t="shared" si="52"/>
        <v>32821.7736</v>
      </c>
      <c r="L175" s="349">
        <f>SUM(K175-G175)</f>
        <v>3871.9296000000031</v>
      </c>
      <c r="M175" s="202">
        <v>1.6164000000000001</v>
      </c>
      <c r="N175" s="292">
        <f>SUM(K175-G175)*M175</f>
        <v>6258.5870054400057</v>
      </c>
      <c r="O175" s="378"/>
      <c r="P175" s="378"/>
    </row>
    <row r="176" spans="1:26" s="117" customFormat="1" ht="15" customHeight="1" x14ac:dyDescent="0.2">
      <c r="A176" s="337" t="s">
        <v>1431</v>
      </c>
      <c r="B176" s="199" t="s">
        <v>1430</v>
      </c>
      <c r="C176" s="199" t="s">
        <v>53</v>
      </c>
      <c r="D176" s="200">
        <v>41561</v>
      </c>
      <c r="E176" s="198">
        <v>1870</v>
      </c>
      <c r="F176" s="201">
        <v>1748</v>
      </c>
      <c r="G176" s="380">
        <f t="shared" si="51"/>
        <v>32687.599999999999</v>
      </c>
      <c r="H176" s="378"/>
      <c r="I176" s="812">
        <v>41591</v>
      </c>
      <c r="J176" s="201">
        <v>1682</v>
      </c>
      <c r="K176" s="359">
        <f t="shared" si="52"/>
        <v>31453.4</v>
      </c>
      <c r="L176" s="349">
        <f>SUM(K176-G176)</f>
        <v>-1234.1999999999971</v>
      </c>
      <c r="M176" s="202">
        <v>1.6164000000000001</v>
      </c>
      <c r="N176" s="292">
        <f>SUM(K176-G176)*M176</f>
        <v>-1994.9608799999953</v>
      </c>
      <c r="O176" s="378"/>
      <c r="P176" s="378"/>
    </row>
    <row r="177" spans="1:16" s="119" customFormat="1" ht="15" customHeight="1" x14ac:dyDescent="0.2">
      <c r="A177" s="84"/>
      <c r="B177" s="277"/>
      <c r="C177" s="84"/>
      <c r="D177" s="144"/>
      <c r="E177" s="379"/>
      <c r="F177" s="159"/>
      <c r="G177" s="195"/>
      <c r="H177" s="287"/>
      <c r="I177" s="245"/>
      <c r="J177" s="383"/>
      <c r="K177" s="197"/>
      <c r="L177" s="180"/>
      <c r="M177" s="168"/>
      <c r="N177" s="292"/>
      <c r="O177" s="118"/>
      <c r="P177" s="118"/>
    </row>
    <row r="178" spans="1:16" s="119" customFormat="1" ht="15" customHeight="1" x14ac:dyDescent="0.2">
      <c r="A178" s="84"/>
      <c r="B178" s="277"/>
      <c r="C178" s="84"/>
      <c r="D178" s="144"/>
      <c r="E178" s="379"/>
      <c r="F178" s="159"/>
      <c r="G178" s="195"/>
      <c r="H178" s="287"/>
      <c r="I178" s="245"/>
      <c r="J178" s="383"/>
      <c r="K178" s="197"/>
      <c r="L178" s="180"/>
      <c r="M178" s="168"/>
      <c r="N178" s="292"/>
      <c r="O178" s="118"/>
      <c r="P178" s="118"/>
    </row>
    <row r="179" spans="1:16" s="8" customFormat="1" ht="15" customHeight="1" x14ac:dyDescent="0.2">
      <c r="A179" s="17"/>
      <c r="B179" s="17"/>
      <c r="C179" s="17"/>
      <c r="D179" s="101"/>
      <c r="E179" s="381"/>
      <c r="F179" s="146"/>
      <c r="G179" s="186"/>
      <c r="H179" s="101"/>
      <c r="I179" s="147"/>
      <c r="J179" s="146"/>
      <c r="K179" s="186"/>
      <c r="L179" s="183"/>
      <c r="M179" s="190"/>
      <c r="N179" s="304"/>
      <c r="O179" s="18"/>
    </row>
    <row r="180" spans="1:16" s="14" customFormat="1" ht="16.5" thickBot="1" x14ac:dyDescent="0.3">
      <c r="A180" s="39" t="s">
        <v>34</v>
      </c>
      <c r="B180" s="39"/>
      <c r="C180" s="39"/>
      <c r="D180" s="39"/>
      <c r="E180" s="39"/>
      <c r="F180" s="58"/>
      <c r="G180" s="135"/>
      <c r="H180" s="41"/>
      <c r="I180" s="42"/>
      <c r="J180" s="42"/>
      <c r="K180" s="42"/>
      <c r="L180" s="113"/>
      <c r="M180" s="174"/>
      <c r="N180" s="239">
        <f>SUM(N47:N179)</f>
        <v>112476.25366128891</v>
      </c>
      <c r="O180" s="41"/>
    </row>
    <row r="181" spans="1:16" ht="11.25" customHeight="1" thickTop="1" x14ac:dyDescent="0.25">
      <c r="A181" s="27"/>
      <c r="B181" s="27"/>
      <c r="C181" s="27"/>
      <c r="D181" s="9"/>
      <c r="E181" s="10"/>
      <c r="F181" s="54"/>
      <c r="G181" s="131"/>
      <c r="H181" s="9"/>
      <c r="I181" s="26"/>
      <c r="J181" s="54"/>
      <c r="K181" s="131"/>
      <c r="L181" s="109"/>
      <c r="M181" s="169"/>
      <c r="N181" s="294"/>
      <c r="O181" s="10"/>
    </row>
  </sheetData>
  <sortState ref="A16:Z33">
    <sortCondition ref="B16:B3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0"/>
  <sheetViews>
    <sheetView workbookViewId="0">
      <selection activeCell="R131" sqref="R131"/>
    </sheetView>
  </sheetViews>
  <sheetFormatPr defaultRowHeight="11.25" customHeight="1" x14ac:dyDescent="0.2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 x14ac:dyDescent="0.3">
      <c r="A2" s="33" t="s">
        <v>877</v>
      </c>
      <c r="I2" s="454"/>
      <c r="J2" s="456"/>
      <c r="K2" s="456"/>
      <c r="L2" s="454"/>
      <c r="M2" s="454"/>
    </row>
    <row r="3" spans="1:19" ht="9" customHeight="1" x14ac:dyDescent="0.3">
      <c r="A3" s="33"/>
    </row>
    <row r="4" spans="1:19" s="7" customFormat="1" ht="19.5" thickBot="1" x14ac:dyDescent="0.35">
      <c r="A4" s="34">
        <f>SUM(Q17+N22)</f>
        <v>96118.646969612717</v>
      </c>
      <c r="D4" s="68"/>
      <c r="E4" s="127"/>
      <c r="F4" s="307"/>
      <c r="H4" s="261"/>
      <c r="J4" s="455"/>
      <c r="K4" s="455"/>
      <c r="L4" s="455"/>
      <c r="M4" s="455"/>
      <c r="N4" s="107"/>
      <c r="O4" s="68"/>
      <c r="P4" s="175"/>
      <c r="Q4" s="139"/>
      <c r="R4" s="12"/>
    </row>
    <row r="5" spans="1:19" s="7" customFormat="1" ht="12.75" customHeight="1" thickTop="1" x14ac:dyDescent="0.3">
      <c r="A5" s="137"/>
      <c r="D5" s="68"/>
      <c r="E5" s="68"/>
      <c r="F5" s="307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 x14ac:dyDescent="0.3">
      <c r="A6" s="206"/>
      <c r="B6" s="207"/>
      <c r="C6" s="207"/>
      <c r="D6" s="226"/>
      <c r="E6" s="226"/>
      <c r="F6" s="308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 x14ac:dyDescent="0.2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 x14ac:dyDescent="0.2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 x14ac:dyDescent="0.2"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 x14ac:dyDescent="0.2">
      <c r="A10" s="2" t="s">
        <v>943</v>
      </c>
      <c r="B10" s="2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9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 x14ac:dyDescent="0.2">
      <c r="A11" s="17" t="s">
        <v>942</v>
      </c>
      <c r="B11" s="17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 x14ac:dyDescent="0.2"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7" customFormat="1" ht="15" customHeight="1" x14ac:dyDescent="0.2">
      <c r="R14" s="344"/>
      <c r="S14" s="120"/>
    </row>
    <row r="16" spans="1:19" s="8" customFormat="1" ht="15" customHeight="1" x14ac:dyDescent="0.2">
      <c r="A16" s="17"/>
      <c r="B16" s="17"/>
      <c r="C16" s="17"/>
      <c r="D16" s="185"/>
      <c r="E16" s="185"/>
      <c r="F16" s="145"/>
      <c r="G16" s="18"/>
      <c r="H16" s="273"/>
      <c r="I16" s="101"/>
      <c r="J16" s="280"/>
      <c r="K16" s="155"/>
      <c r="L16" s="279"/>
      <c r="M16" s="197"/>
      <c r="N16" s="180"/>
      <c r="O16" s="178"/>
      <c r="P16" s="190"/>
      <c r="Q16" s="188"/>
      <c r="R16" s="176"/>
      <c r="S16" s="121"/>
    </row>
    <row r="17" spans="1:19" s="14" customFormat="1" ht="16.5" thickBot="1" x14ac:dyDescent="0.3">
      <c r="A17" s="35" t="s">
        <v>38</v>
      </c>
      <c r="B17" s="35"/>
      <c r="C17" s="35"/>
      <c r="D17" s="72"/>
      <c r="E17" s="72"/>
      <c r="F17" s="309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 x14ac:dyDescent="0.25">
      <c r="A18" s="48"/>
      <c r="B18" s="48"/>
      <c r="C18" s="48"/>
      <c r="D18" s="73"/>
      <c r="E18" s="73"/>
      <c r="F18" s="310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 x14ac:dyDescent="0.2">
      <c r="A19" s="90"/>
      <c r="B19" s="90"/>
      <c r="C19" s="90"/>
      <c r="D19" s="136"/>
      <c r="E19" s="136"/>
      <c r="F19" s="311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 x14ac:dyDescent="0.2">
      <c r="A20" s="90"/>
      <c r="B20" s="90"/>
      <c r="C20" s="90"/>
      <c r="D20" s="136"/>
      <c r="E20" s="136"/>
      <c r="F20" s="311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 x14ac:dyDescent="0.2">
      <c r="A21" s="27"/>
      <c r="B21" s="27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 x14ac:dyDescent="0.3">
      <c r="A22" s="285"/>
      <c r="B22" s="204"/>
      <c r="C22" s="204"/>
      <c r="D22" s="222"/>
      <c r="E22" s="222"/>
      <c r="F22" s="312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 x14ac:dyDescent="0.2">
      <c r="A23" s="2"/>
      <c r="B23" s="2"/>
      <c r="C23" s="2"/>
      <c r="D23" s="69"/>
      <c r="E23" s="69"/>
      <c r="F23" s="192"/>
      <c r="H23" s="275"/>
      <c r="J23" s="318"/>
      <c r="K23" s="193"/>
      <c r="L23" s="279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 x14ac:dyDescent="0.2">
      <c r="D24" s="69"/>
      <c r="E24" s="69"/>
      <c r="F24" s="61"/>
      <c r="H24" s="264"/>
      <c r="J24" s="318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 x14ac:dyDescent="0.2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 x14ac:dyDescent="0.2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 x14ac:dyDescent="0.2">
      <c r="A27" s="2"/>
      <c r="B27" s="2"/>
      <c r="C27" s="2"/>
      <c r="D27" s="69"/>
      <c r="E27" s="69"/>
      <c r="F27" s="192"/>
      <c r="H27" s="275"/>
      <c r="I27" s="179"/>
      <c r="J27" s="318"/>
      <c r="K27" s="193"/>
      <c r="L27" s="279"/>
      <c r="M27" s="197"/>
      <c r="N27" s="180"/>
      <c r="O27" s="178"/>
      <c r="P27" s="167" t="s">
        <v>1302</v>
      </c>
      <c r="Q27" s="181"/>
      <c r="R27" s="19"/>
      <c r="S27" s="121"/>
    </row>
    <row r="28" spans="1:19" s="2" customFormat="1" ht="15" customHeight="1" x14ac:dyDescent="0.2">
      <c r="D28" s="69"/>
      <c r="E28" s="69"/>
      <c r="F28" s="192"/>
      <c r="G28" s="8"/>
      <c r="H28" s="275"/>
      <c r="I28" s="179"/>
      <c r="J28" s="192"/>
      <c r="K28" s="193"/>
      <c r="L28" s="279"/>
      <c r="M28" s="197"/>
      <c r="N28" s="180"/>
      <c r="O28" s="178"/>
      <c r="P28" s="167" t="s">
        <v>1303</v>
      </c>
      <c r="Q28" s="181"/>
      <c r="R28" s="19"/>
      <c r="S28" s="121"/>
    </row>
    <row r="29" spans="1:19" s="8" customFormat="1" ht="15" customHeight="1" x14ac:dyDescent="0.2">
      <c r="A29" s="80" t="s">
        <v>52</v>
      </c>
      <c r="B29" s="80" t="s">
        <v>51</v>
      </c>
      <c r="C29" s="314"/>
      <c r="D29" s="315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 x14ac:dyDescent="0.2">
      <c r="A30" s="80" t="s">
        <v>50</v>
      </c>
      <c r="B30" s="80" t="s">
        <v>49</v>
      </c>
      <c r="C30" s="314"/>
      <c r="D30" s="315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6">
        <v>1</v>
      </c>
      <c r="Q30" s="181">
        <f t="shared" si="1"/>
        <v>-2390.0000000000091</v>
      </c>
      <c r="R30" s="19"/>
      <c r="S30" s="121"/>
    </row>
    <row r="31" spans="1:19" s="8" customFormat="1" ht="15" customHeight="1" x14ac:dyDescent="0.2">
      <c r="A31" s="80" t="s">
        <v>43</v>
      </c>
      <c r="B31" s="80" t="s">
        <v>44</v>
      </c>
      <c r="C31" s="314"/>
      <c r="D31" s="315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6">
        <v>1</v>
      </c>
      <c r="Q31" s="181">
        <f>SUM(N31*P31)</f>
        <v>9298.8000000000029</v>
      </c>
      <c r="R31" s="19"/>
      <c r="S31" s="121"/>
    </row>
    <row r="32" spans="1:19" s="8" customFormat="1" ht="15" customHeight="1" x14ac:dyDescent="0.2">
      <c r="A32" s="80" t="s">
        <v>48</v>
      </c>
      <c r="B32" s="80" t="s">
        <v>47</v>
      </c>
      <c r="C32" s="314"/>
      <c r="D32" s="315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6">
        <v>1</v>
      </c>
      <c r="Q32" s="181">
        <f t="shared" si="1"/>
        <v>6061.0500000000011</v>
      </c>
      <c r="R32" s="19"/>
      <c r="S32" s="121"/>
    </row>
    <row r="33" spans="1:19" s="8" customFormat="1" ht="15" customHeight="1" x14ac:dyDescent="0.2">
      <c r="A33" s="80" t="s">
        <v>46</v>
      </c>
      <c r="B33" s="80" t="s">
        <v>45</v>
      </c>
      <c r="C33" s="314"/>
      <c r="D33" s="315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6">
        <v>1</v>
      </c>
      <c r="Q33" s="181">
        <f t="shared" si="1"/>
        <v>-2030.0000000000011</v>
      </c>
      <c r="R33" s="19"/>
      <c r="S33" s="121"/>
    </row>
    <row r="34" spans="1:19" s="8" customFormat="1" ht="15" customHeight="1" x14ac:dyDescent="0.2">
      <c r="A34" s="80" t="s">
        <v>43</v>
      </c>
      <c r="B34" s="80" t="s">
        <v>44</v>
      </c>
      <c r="C34" s="314"/>
      <c r="D34" s="315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6">
        <v>1</v>
      </c>
      <c r="Q34" s="181">
        <f t="shared" si="1"/>
        <v>252.00000000000955</v>
      </c>
      <c r="R34" s="19"/>
      <c r="S34" s="121"/>
    </row>
    <row r="35" spans="1:19" s="8" customFormat="1" ht="15" customHeight="1" x14ac:dyDescent="0.2">
      <c r="A35" s="84" t="s">
        <v>77</v>
      </c>
      <c r="B35" s="84" t="s">
        <v>76</v>
      </c>
      <c r="C35" s="314"/>
      <c r="D35" s="315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 x14ac:dyDescent="0.2">
      <c r="A36" s="84" t="s">
        <v>75</v>
      </c>
      <c r="B36" s="84" t="s">
        <v>74</v>
      </c>
      <c r="C36" s="314"/>
      <c r="D36" s="315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 x14ac:dyDescent="0.2">
      <c r="A37" s="84" t="s">
        <v>73</v>
      </c>
      <c r="B37" s="84" t="s">
        <v>72</v>
      </c>
      <c r="C37" s="314"/>
      <c r="D37" s="315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 x14ac:dyDescent="0.2">
      <c r="A38" s="84" t="s">
        <v>73</v>
      </c>
      <c r="B38" s="84" t="s">
        <v>72</v>
      </c>
      <c r="C38" s="314"/>
      <c r="D38" s="315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6">
        <v>1</v>
      </c>
      <c r="Q38" s="181">
        <f t="shared" si="1"/>
        <v>3532.5000000000045</v>
      </c>
      <c r="R38" s="81"/>
      <c r="S38" s="121"/>
    </row>
    <row r="39" spans="1:19" s="8" customFormat="1" ht="15" customHeight="1" x14ac:dyDescent="0.2">
      <c r="A39" s="84" t="s">
        <v>71</v>
      </c>
      <c r="B39" s="84" t="s">
        <v>70</v>
      </c>
      <c r="C39" s="314"/>
      <c r="D39" s="315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6">
        <v>1</v>
      </c>
      <c r="Q39" s="181">
        <f t="shared" si="1"/>
        <v>-8700.0000000000036</v>
      </c>
      <c r="R39" s="81"/>
      <c r="S39" s="121"/>
    </row>
    <row r="40" spans="1:19" s="8" customFormat="1" ht="15" customHeight="1" x14ac:dyDescent="0.2">
      <c r="A40" s="84" t="s">
        <v>69</v>
      </c>
      <c r="B40" s="84" t="s">
        <v>68</v>
      </c>
      <c r="C40" s="314"/>
      <c r="D40" s="315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6">
        <v>1</v>
      </c>
      <c r="Q40" s="181">
        <f t="shared" si="1"/>
        <v>-5125</v>
      </c>
      <c r="R40" s="81"/>
      <c r="S40" s="121"/>
    </row>
    <row r="41" spans="1:19" s="18" customFormat="1" ht="15" customHeight="1" x14ac:dyDescent="0.2">
      <c r="A41" s="86" t="s">
        <v>67</v>
      </c>
      <c r="B41" s="86" t="s">
        <v>66</v>
      </c>
      <c r="C41" s="281"/>
      <c r="D41" s="316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6">
        <v>1</v>
      </c>
      <c r="Q41" s="188">
        <f t="shared" si="1"/>
        <v>-2468.75</v>
      </c>
      <c r="R41" s="89"/>
      <c r="S41" s="122"/>
    </row>
    <row r="42" spans="1:19" s="8" customFormat="1" ht="15" customHeight="1" x14ac:dyDescent="0.2">
      <c r="A42" s="84" t="s">
        <v>65</v>
      </c>
      <c r="B42" s="84" t="s">
        <v>64</v>
      </c>
      <c r="C42" s="314"/>
      <c r="D42" s="315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 x14ac:dyDescent="0.2">
      <c r="A43" s="84" t="s">
        <v>63</v>
      </c>
      <c r="B43" s="84" t="s">
        <v>62</v>
      </c>
      <c r="C43" s="314"/>
      <c r="D43" s="315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 x14ac:dyDescent="0.2">
      <c r="A44" s="84" t="s">
        <v>57</v>
      </c>
      <c r="B44" s="84" t="s">
        <v>56</v>
      </c>
      <c r="C44" s="314"/>
      <c r="D44" s="315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8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1304</v>
      </c>
      <c r="S44" s="121"/>
    </row>
    <row r="45" spans="1:19" s="8" customFormat="1" ht="15" customHeight="1" x14ac:dyDescent="0.2">
      <c r="A45" s="84" t="s">
        <v>57</v>
      </c>
      <c r="B45" s="84" t="s">
        <v>56</v>
      </c>
      <c r="C45" s="314"/>
      <c r="D45" s="315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8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1304</v>
      </c>
      <c r="S45" s="121"/>
    </row>
    <row r="46" spans="1:19" s="18" customFormat="1" ht="15" customHeight="1" x14ac:dyDescent="0.2">
      <c r="A46" s="86" t="s">
        <v>61</v>
      </c>
      <c r="B46" s="86" t="s">
        <v>60</v>
      </c>
      <c r="C46" s="281"/>
      <c r="D46" s="316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9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1304</v>
      </c>
      <c r="S46" s="122"/>
    </row>
    <row r="47" spans="1:19" s="8" customFormat="1" ht="15" customHeight="1" x14ac:dyDescent="0.2">
      <c r="A47" s="84" t="s">
        <v>55</v>
      </c>
      <c r="B47" s="84" t="s">
        <v>54</v>
      </c>
      <c r="C47" s="314"/>
      <c r="D47" s="315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8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1304</v>
      </c>
      <c r="S47" s="121"/>
    </row>
    <row r="48" spans="1:19" s="8" customFormat="1" ht="15" customHeight="1" x14ac:dyDescent="0.2">
      <c r="A48" s="84" t="s">
        <v>55</v>
      </c>
      <c r="B48" s="84" t="s">
        <v>54</v>
      </c>
      <c r="C48" s="281"/>
      <c r="D48" s="316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8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1304</v>
      </c>
      <c r="S48" s="121"/>
    </row>
    <row r="49" spans="1:19" s="8" customFormat="1" ht="15" customHeight="1" x14ac:dyDescent="0.2">
      <c r="A49" s="84" t="s">
        <v>59</v>
      </c>
      <c r="B49" s="84" t="s">
        <v>58</v>
      </c>
      <c r="C49" s="281"/>
      <c r="D49" s="316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 x14ac:dyDescent="0.2">
      <c r="A50" s="84" t="s">
        <v>52</v>
      </c>
      <c r="B50" s="84" t="s">
        <v>51</v>
      </c>
      <c r="C50" s="281"/>
      <c r="D50" s="316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 x14ac:dyDescent="0.2">
      <c r="A51" s="84" t="s">
        <v>57</v>
      </c>
      <c r="B51" s="84" t="s">
        <v>56</v>
      </c>
      <c r="C51" s="281"/>
      <c r="D51" s="316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 x14ac:dyDescent="0.2">
      <c r="A52" s="84" t="s">
        <v>55</v>
      </c>
      <c r="B52" s="84" t="s">
        <v>54</v>
      </c>
      <c r="C52" s="281"/>
      <c r="D52" s="316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 x14ac:dyDescent="0.2">
      <c r="A53" s="84" t="s">
        <v>82</v>
      </c>
      <c r="B53" s="84" t="s">
        <v>81</v>
      </c>
      <c r="C53" s="281"/>
      <c r="D53" s="316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 x14ac:dyDescent="0.2">
      <c r="A54" s="84" t="s">
        <v>80</v>
      </c>
      <c r="B54" s="84" t="s">
        <v>79</v>
      </c>
      <c r="C54" s="281"/>
      <c r="D54" s="316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 x14ac:dyDescent="0.2">
      <c r="A55" s="84" t="s">
        <v>84</v>
      </c>
      <c r="B55" s="84" t="s">
        <v>83</v>
      </c>
      <c r="C55" s="281"/>
      <c r="D55" s="316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 x14ac:dyDescent="0.2">
      <c r="A56" s="86" t="s">
        <v>87</v>
      </c>
      <c r="B56" s="86" t="s">
        <v>66</v>
      </c>
      <c r="C56" s="281"/>
      <c r="D56" s="316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 x14ac:dyDescent="0.2">
      <c r="A57" s="84" t="s">
        <v>86</v>
      </c>
      <c r="B57" s="84" t="s">
        <v>85</v>
      </c>
      <c r="C57" s="281"/>
      <c r="D57" s="316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 x14ac:dyDescent="0.2">
      <c r="A58" s="84" t="s">
        <v>86</v>
      </c>
      <c r="B58" s="84" t="s">
        <v>85</v>
      </c>
      <c r="C58" s="281"/>
      <c r="D58" s="316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 x14ac:dyDescent="0.2">
      <c r="A59" s="84" t="s">
        <v>50</v>
      </c>
      <c r="B59" s="84" t="s">
        <v>49</v>
      </c>
      <c r="C59" s="281"/>
      <c r="D59" s="316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6">
        <v>1</v>
      </c>
      <c r="Q59" s="181">
        <f t="shared" si="1"/>
        <v>24429.999999999996</v>
      </c>
      <c r="R59" s="81"/>
      <c r="S59" s="121"/>
    </row>
    <row r="60" spans="1:19" s="102" customFormat="1" ht="15" customHeight="1" x14ac:dyDescent="0.2">
      <c r="A60" s="84" t="s">
        <v>1</v>
      </c>
      <c r="B60" s="84" t="s">
        <v>2</v>
      </c>
      <c r="C60" s="281"/>
      <c r="D60" s="316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6">
        <v>1</v>
      </c>
      <c r="Q60" s="181">
        <f t="shared" si="1"/>
        <v>29830.000000000015</v>
      </c>
      <c r="R60" s="81"/>
      <c r="S60" s="121"/>
    </row>
    <row r="61" spans="1:19" s="102" customFormat="1" ht="15" customHeight="1" x14ac:dyDescent="0.2">
      <c r="A61" s="84" t="s">
        <v>1</v>
      </c>
      <c r="B61" s="84" t="s">
        <v>2</v>
      </c>
      <c r="C61" s="80" t="s">
        <v>93</v>
      </c>
      <c r="D61" s="316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6">
        <v>1</v>
      </c>
      <c r="Q61" s="181">
        <f t="shared" si="1"/>
        <v>-3950.0000000000027</v>
      </c>
      <c r="R61" s="81"/>
      <c r="S61" s="121"/>
    </row>
    <row r="62" spans="1:19" s="102" customFormat="1" ht="15" customHeight="1" x14ac:dyDescent="0.2">
      <c r="A62" s="84" t="s">
        <v>50</v>
      </c>
      <c r="B62" s="84" t="s">
        <v>49</v>
      </c>
      <c r="C62" s="80" t="s">
        <v>92</v>
      </c>
      <c r="D62" s="316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6">
        <v>1</v>
      </c>
      <c r="Q62" s="181">
        <f t="shared" si="1"/>
        <v>-4775</v>
      </c>
      <c r="R62" s="81"/>
      <c r="S62" s="121"/>
    </row>
    <row r="63" spans="1:19" s="102" customFormat="1" ht="15" customHeight="1" x14ac:dyDescent="0.2">
      <c r="A63" s="84" t="s">
        <v>43</v>
      </c>
      <c r="B63" s="84" t="s">
        <v>44</v>
      </c>
      <c r="C63" s="80" t="s">
        <v>91</v>
      </c>
      <c r="D63" s="316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6">
        <v>1</v>
      </c>
      <c r="Q63" s="181">
        <f t="shared" si="1"/>
        <v>12247.200000000012</v>
      </c>
      <c r="R63" s="81"/>
      <c r="S63" s="121"/>
    </row>
    <row r="64" spans="1:19" s="102" customFormat="1" ht="15" customHeight="1" x14ac:dyDescent="0.2">
      <c r="A64" s="84" t="s">
        <v>84</v>
      </c>
      <c r="B64" s="84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6">
        <v>1</v>
      </c>
      <c r="Q64" s="181">
        <f t="shared" si="1"/>
        <v>5124.0000000000327</v>
      </c>
      <c r="R64" s="81"/>
      <c r="S64" s="121"/>
    </row>
    <row r="65" spans="1:19" s="102" customFormat="1" ht="15" customHeight="1" x14ac:dyDescent="0.2">
      <c r="A65" s="84" t="s">
        <v>82</v>
      </c>
      <c r="B65" s="84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6">
        <v>1</v>
      </c>
      <c r="Q65" s="181">
        <f t="shared" si="1"/>
        <v>6019.9999999999955</v>
      </c>
      <c r="R65" s="81"/>
      <c r="S65" s="121"/>
    </row>
    <row r="66" spans="1:19" s="102" customFormat="1" ht="15" customHeight="1" x14ac:dyDescent="0.2">
      <c r="A66" s="84" t="s">
        <v>80</v>
      </c>
      <c r="B66" s="84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6">
        <v>1</v>
      </c>
      <c r="Q66" s="181">
        <f t="shared" si="1"/>
        <v>4640.0000000000009</v>
      </c>
      <c r="R66" s="81"/>
      <c r="S66" s="121"/>
    </row>
    <row r="67" spans="1:19" s="102" customFormat="1" ht="15" customHeight="1" x14ac:dyDescent="0.2">
      <c r="A67" s="84" t="s">
        <v>80</v>
      </c>
      <c r="B67" s="84" t="s">
        <v>79</v>
      </c>
      <c r="C67" s="80" t="s">
        <v>88</v>
      </c>
      <c r="D67" s="316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6">
        <v>1</v>
      </c>
      <c r="Q67" s="181">
        <f t="shared" si="1"/>
        <v>700.00000000000284</v>
      </c>
      <c r="R67" s="81"/>
      <c r="S67" s="121"/>
    </row>
    <row r="68" spans="1:19" s="18" customFormat="1" ht="15" customHeight="1" x14ac:dyDescent="0.2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6">
        <v>1</v>
      </c>
      <c r="Q68" s="188">
        <f>SUM(N68*P68)</f>
        <v>-4120.0000000000045</v>
      </c>
      <c r="R68" s="176"/>
      <c r="S68" s="122"/>
    </row>
    <row r="69" spans="1:19" s="18" customFormat="1" ht="15" customHeight="1" x14ac:dyDescent="0.2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 x14ac:dyDescent="0.2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 x14ac:dyDescent="0.2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 x14ac:dyDescent="0.2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 x14ac:dyDescent="0.2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 x14ac:dyDescent="0.2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 x14ac:dyDescent="0.2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 x14ac:dyDescent="0.2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 x14ac:dyDescent="0.2">
      <c r="A77" s="199" t="s">
        <v>103</v>
      </c>
      <c r="B77" s="19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 x14ac:dyDescent="0.2">
      <c r="A78" s="199" t="s">
        <v>99</v>
      </c>
      <c r="B78" s="19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 x14ac:dyDescent="0.2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 x14ac:dyDescent="0.2">
      <c r="A80" s="199" t="s">
        <v>97</v>
      </c>
      <c r="B80" s="19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 x14ac:dyDescent="0.2">
      <c r="A81" s="199" t="s">
        <v>109</v>
      </c>
      <c r="B81" s="19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1046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 x14ac:dyDescent="0.2">
      <c r="A82" s="199" t="s">
        <v>109</v>
      </c>
      <c r="B82" s="19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 x14ac:dyDescent="0.2">
      <c r="A83" s="17" t="s">
        <v>895</v>
      </c>
      <c r="B83" s="17" t="s">
        <v>361</v>
      </c>
      <c r="C83" s="281"/>
      <c r="D83" s="281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 x14ac:dyDescent="0.2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 x14ac:dyDescent="0.2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 x14ac:dyDescent="0.2">
      <c r="A86" s="84" t="s">
        <v>84</v>
      </c>
      <c r="B86" s="84" t="s">
        <v>83</v>
      </c>
      <c r="C86" s="314"/>
      <c r="D86" s="314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 x14ac:dyDescent="0.2">
      <c r="A87" s="84" t="s">
        <v>115</v>
      </c>
      <c r="B87" s="84" t="s">
        <v>72</v>
      </c>
      <c r="C87" s="314"/>
      <c r="D87" s="314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 x14ac:dyDescent="0.2">
      <c r="A88" s="84" t="s">
        <v>55</v>
      </c>
      <c r="B88" s="84" t="s">
        <v>54</v>
      </c>
      <c r="C88" s="314"/>
      <c r="D88" s="314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 x14ac:dyDescent="0.2">
      <c r="A89" s="84" t="s">
        <v>359</v>
      </c>
      <c r="B89" s="84" t="s">
        <v>360</v>
      </c>
      <c r="C89" s="314"/>
      <c r="D89" s="314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 x14ac:dyDescent="0.2">
      <c r="A90" s="84" t="s">
        <v>103</v>
      </c>
      <c r="B90" s="84" t="s">
        <v>102</v>
      </c>
      <c r="C90" s="314"/>
      <c r="D90" s="314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 x14ac:dyDescent="0.2">
      <c r="A91" s="80" t="s">
        <v>75</v>
      </c>
      <c r="B91" s="80" t="s">
        <v>74</v>
      </c>
      <c r="C91" s="314"/>
      <c r="D91" s="314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7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 x14ac:dyDescent="0.2">
      <c r="A92" s="80" t="s">
        <v>80</v>
      </c>
      <c r="B92" s="80" t="s">
        <v>79</v>
      </c>
      <c r="C92" s="314"/>
      <c r="D92" s="314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7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 x14ac:dyDescent="0.2">
      <c r="A93" s="80" t="s">
        <v>57</v>
      </c>
      <c r="B93" s="80" t="s">
        <v>56</v>
      </c>
      <c r="C93" s="314"/>
      <c r="D93" s="314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7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 x14ac:dyDescent="0.2">
      <c r="A94" s="80" t="s">
        <v>82</v>
      </c>
      <c r="B94" s="80" t="s">
        <v>81</v>
      </c>
      <c r="C94" s="314"/>
      <c r="D94" s="314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7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 x14ac:dyDescent="0.2">
      <c r="A95" s="80" t="s">
        <v>50</v>
      </c>
      <c r="B95" s="80" t="s">
        <v>49</v>
      </c>
      <c r="C95" s="314"/>
      <c r="D95" s="314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7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 x14ac:dyDescent="0.2">
      <c r="A96" s="80" t="s">
        <v>1</v>
      </c>
      <c r="B96" s="80" t="s">
        <v>2</v>
      </c>
      <c r="C96" s="314"/>
      <c r="D96" s="314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7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 x14ac:dyDescent="0.2">
      <c r="A97" s="80" t="s">
        <v>43</v>
      </c>
      <c r="B97" s="80" t="s">
        <v>44</v>
      </c>
      <c r="C97" s="314"/>
      <c r="D97" s="314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7">
        <v>1E-4</v>
      </c>
      <c r="M97" s="104">
        <v>4.2</v>
      </c>
      <c r="N97" s="180">
        <f t="shared" si="8"/>
        <v>5770.7999999999984</v>
      </c>
      <c r="O97" s="78" t="s">
        <v>885</v>
      </c>
      <c r="P97" s="356">
        <v>1</v>
      </c>
      <c r="Q97" s="181">
        <f t="shared" si="9"/>
        <v>5770.7999999999984</v>
      </c>
      <c r="R97" s="81"/>
      <c r="S97" s="121"/>
    </row>
    <row r="98" spans="1:19" s="18" customFormat="1" ht="15" customHeight="1" x14ac:dyDescent="0.2">
      <c r="A98" s="17" t="s">
        <v>381</v>
      </c>
      <c r="B98" s="17" t="s">
        <v>388</v>
      </c>
      <c r="C98" s="281"/>
      <c r="D98" s="281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6">
        <v>1</v>
      </c>
      <c r="Q98" s="188">
        <f t="shared" si="9"/>
        <v>-3345.0000000000146</v>
      </c>
      <c r="R98" s="176"/>
      <c r="S98" s="122"/>
    </row>
    <row r="99" spans="1:19" s="8" customFormat="1" ht="15" customHeight="1" x14ac:dyDescent="0.2">
      <c r="A99" s="80" t="s">
        <v>382</v>
      </c>
      <c r="B99" s="80" t="s">
        <v>389</v>
      </c>
      <c r="C99" s="314"/>
      <c r="D99" s="314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7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6">
        <v>1</v>
      </c>
      <c r="Q99" s="181">
        <f t="shared" si="9"/>
        <v>-1144.0000000000036</v>
      </c>
      <c r="R99" s="83"/>
      <c r="S99" s="121"/>
    </row>
    <row r="100" spans="1:19" s="18" customFormat="1" ht="15" customHeight="1" x14ac:dyDescent="0.2">
      <c r="A100" s="86" t="s">
        <v>383</v>
      </c>
      <c r="B100" s="86" t="s">
        <v>390</v>
      </c>
      <c r="C100" s="281"/>
      <c r="D100" s="281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6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 x14ac:dyDescent="0.2">
      <c r="A101" s="80" t="s">
        <v>384</v>
      </c>
      <c r="B101" s="80" t="s">
        <v>391</v>
      </c>
      <c r="C101" s="314"/>
      <c r="D101" s="314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7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6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 x14ac:dyDescent="0.2">
      <c r="A102" s="2" t="s">
        <v>385</v>
      </c>
      <c r="B102" s="2" t="s">
        <v>392</v>
      </c>
      <c r="C102" s="314"/>
      <c r="D102" s="314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9">
        <v>0.01</v>
      </c>
      <c r="M102" s="197">
        <v>2</v>
      </c>
      <c r="N102" s="180">
        <f t="shared" si="10"/>
        <v>-2000</v>
      </c>
      <c r="O102" s="8" t="s">
        <v>885</v>
      </c>
      <c r="P102" s="356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 x14ac:dyDescent="0.2">
      <c r="A103" s="80" t="s">
        <v>86</v>
      </c>
      <c r="B103" s="80" t="s">
        <v>85</v>
      </c>
      <c r="C103" s="314"/>
      <c r="D103" s="314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7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6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 x14ac:dyDescent="0.2">
      <c r="A104" s="80" t="s">
        <v>80</v>
      </c>
      <c r="B104" s="80" t="s">
        <v>79</v>
      </c>
      <c r="C104" s="314"/>
      <c r="D104" s="314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7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6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 x14ac:dyDescent="0.2">
      <c r="A105" s="2" t="s">
        <v>386</v>
      </c>
      <c r="B105" s="2" t="s">
        <v>391</v>
      </c>
      <c r="C105" s="314"/>
      <c r="D105" s="314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9">
        <v>0.01</v>
      </c>
      <c r="M105" s="197">
        <v>5</v>
      </c>
      <c r="N105" s="180">
        <f t="shared" si="10"/>
        <v>-2600.0000000000009</v>
      </c>
      <c r="O105" s="8" t="s">
        <v>885</v>
      </c>
      <c r="P105" s="356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 x14ac:dyDescent="0.2">
      <c r="A106" s="80" t="s">
        <v>387</v>
      </c>
      <c r="B106" s="80" t="s">
        <v>72</v>
      </c>
      <c r="C106" s="314"/>
      <c r="D106" s="314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7">
        <v>0.25</v>
      </c>
      <c r="M106" s="104">
        <v>12.5</v>
      </c>
      <c r="N106" s="180">
        <f t="shared" si="10"/>
        <v>-400</v>
      </c>
      <c r="O106" s="78" t="s">
        <v>885</v>
      </c>
      <c r="P106" s="356">
        <v>1</v>
      </c>
      <c r="Q106" s="181">
        <f t="shared" si="9"/>
        <v>-400</v>
      </c>
      <c r="R106" s="81"/>
      <c r="S106" s="121"/>
    </row>
    <row r="107" spans="1:19" s="102" customFormat="1" ht="15" customHeight="1" x14ac:dyDescent="0.2">
      <c r="A107" s="80" t="s">
        <v>112</v>
      </c>
      <c r="B107" s="80" t="s">
        <v>111</v>
      </c>
      <c r="C107" s="314"/>
      <c r="D107" s="314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7">
        <v>0.05</v>
      </c>
      <c r="M107" s="104">
        <v>5</v>
      </c>
      <c r="N107" s="180">
        <f t="shared" si="10"/>
        <v>-3600.9999999999991</v>
      </c>
      <c r="O107" s="78" t="s">
        <v>885</v>
      </c>
      <c r="P107" s="356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 x14ac:dyDescent="0.2">
      <c r="A108" s="80" t="s">
        <v>71</v>
      </c>
      <c r="B108" s="80" t="s">
        <v>70</v>
      </c>
      <c r="C108" s="314"/>
      <c r="D108" s="314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7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6">
        <v>1</v>
      </c>
      <c r="Q108" s="181">
        <f t="shared" si="9"/>
        <v>-2489.999999999995</v>
      </c>
      <c r="R108" s="81"/>
      <c r="S108" s="121"/>
    </row>
    <row r="109" spans="1:19" s="102" customFormat="1" ht="15" customHeight="1" x14ac:dyDescent="0.2">
      <c r="A109" s="80" t="s">
        <v>75</v>
      </c>
      <c r="B109" s="80" t="s">
        <v>75</v>
      </c>
      <c r="C109" s="314"/>
      <c r="D109" s="314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7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 x14ac:dyDescent="0.2">
      <c r="A110" s="17" t="s">
        <v>86</v>
      </c>
      <c r="B110" s="17" t="s">
        <v>85</v>
      </c>
      <c r="C110" s="17" t="s">
        <v>1011</v>
      </c>
      <c r="D110" s="185" t="s">
        <v>1012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9">
        <v>41320</v>
      </c>
      <c r="K110" s="155">
        <v>130.57499999999999</v>
      </c>
      <c r="L110" s="317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 x14ac:dyDescent="0.2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9">
        <v>41332</v>
      </c>
      <c r="K111" s="193">
        <v>3.113</v>
      </c>
      <c r="L111" s="279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 x14ac:dyDescent="0.2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9">
        <v>41332</v>
      </c>
      <c r="K112" s="193">
        <v>112.23</v>
      </c>
      <c r="L112" s="279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 x14ac:dyDescent="0.2">
      <c r="A113" s="17" t="s">
        <v>984</v>
      </c>
      <c r="B113" s="17" t="s">
        <v>985</v>
      </c>
      <c r="C113" s="17" t="s">
        <v>1147</v>
      </c>
      <c r="D113" s="185" t="s">
        <v>1148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9">
        <v>41376</v>
      </c>
      <c r="K113" s="155">
        <v>140.75</v>
      </c>
      <c r="L113" s="317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 x14ac:dyDescent="0.2">
      <c r="A114" s="2" t="s">
        <v>386</v>
      </c>
      <c r="B114" s="2" t="s">
        <v>1071</v>
      </c>
      <c r="C114" s="2" t="s">
        <v>1072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9">
        <v>83.35</v>
      </c>
      <c r="K114" s="193">
        <v>83.35</v>
      </c>
      <c r="L114" s="279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 x14ac:dyDescent="0.2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9">
        <v>41390</v>
      </c>
      <c r="K115" s="193">
        <v>133.35</v>
      </c>
      <c r="L115" s="279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 x14ac:dyDescent="0.2">
      <c r="A116" s="17" t="s">
        <v>1117</v>
      </c>
      <c r="B116" s="17" t="s">
        <v>70</v>
      </c>
      <c r="C116" s="17" t="s">
        <v>1067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 x14ac:dyDescent="0.2">
      <c r="A117" s="2" t="s">
        <v>1183</v>
      </c>
      <c r="B117" s="2" t="s">
        <v>1182</v>
      </c>
      <c r="C117" s="2" t="s">
        <v>1181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9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 x14ac:dyDescent="0.2">
      <c r="A118" s="2" t="s">
        <v>46</v>
      </c>
      <c r="B118" s="2" t="s">
        <v>986</v>
      </c>
      <c r="C118" s="2" t="s">
        <v>1123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9">
        <v>41414</v>
      </c>
      <c r="K118" s="193">
        <v>678.6</v>
      </c>
      <c r="L118" s="279">
        <v>0.25</v>
      </c>
      <c r="M118" s="197">
        <v>12.5</v>
      </c>
      <c r="N118" s="180">
        <f>SUM((K118-H118)/L118*M118)*G118</f>
        <v>-1900</v>
      </c>
      <c r="O118" s="178" t="s">
        <v>1286</v>
      </c>
      <c r="P118" s="189">
        <v>1</v>
      </c>
      <c r="Q118" s="355">
        <f>SUM(N118/P118)</f>
        <v>-1900</v>
      </c>
      <c r="R118" s="19"/>
      <c r="S118" s="120"/>
      <c r="T118" s="337"/>
    </row>
    <row r="119" spans="1:20" s="17" customFormat="1" ht="15" customHeight="1" x14ac:dyDescent="0.2">
      <c r="A119" s="337" t="s">
        <v>676</v>
      </c>
      <c r="B119" s="337" t="s">
        <v>677</v>
      </c>
      <c r="C119" s="337" t="s">
        <v>1073</v>
      </c>
      <c r="D119" s="345" t="s">
        <v>1074</v>
      </c>
      <c r="E119" s="345" t="s">
        <v>53</v>
      </c>
      <c r="F119" s="358">
        <v>41276</v>
      </c>
      <c r="G119" s="374">
        <v>1</v>
      </c>
      <c r="H119" s="361">
        <v>6008</v>
      </c>
      <c r="I119" s="366"/>
      <c r="J119" s="319">
        <v>41428</v>
      </c>
      <c r="K119" s="375">
        <v>6499</v>
      </c>
      <c r="L119" s="362">
        <v>0.5</v>
      </c>
      <c r="M119" s="359">
        <v>7.5</v>
      </c>
      <c r="N119" s="349">
        <f>SUM((K119-H119)/L119*M119)*G119</f>
        <v>7365</v>
      </c>
      <c r="O119" s="348" t="s">
        <v>380</v>
      </c>
      <c r="P119" s="356">
        <v>1.5195700000000001</v>
      </c>
      <c r="Q119" s="350">
        <f>SUM(N119*P119)</f>
        <v>11191.63305</v>
      </c>
      <c r="R119" s="344"/>
      <c r="S119" s="121"/>
      <c r="T119" s="374"/>
    </row>
    <row r="120" spans="1:20" s="2" customFormat="1" ht="15" customHeight="1" x14ac:dyDescent="0.2">
      <c r="A120" s="343" t="s">
        <v>1179</v>
      </c>
      <c r="B120" s="343" t="s">
        <v>389</v>
      </c>
      <c r="C120" s="343" t="s">
        <v>1180</v>
      </c>
      <c r="D120" s="352" t="s">
        <v>1148</v>
      </c>
      <c r="E120" s="352" t="s">
        <v>78</v>
      </c>
      <c r="F120" s="346">
        <v>41379</v>
      </c>
      <c r="G120" s="381">
        <v>1</v>
      </c>
      <c r="H120" s="360">
        <v>370</v>
      </c>
      <c r="I120" s="370"/>
      <c r="J120" s="319">
        <v>41428</v>
      </c>
      <c r="K120" s="155">
        <v>311.39999999999998</v>
      </c>
      <c r="L120" s="354">
        <v>0.1</v>
      </c>
      <c r="M120" s="353">
        <v>11</v>
      </c>
      <c r="N120" s="351">
        <f>SUM((H120-K120)/L120*M120)*G120</f>
        <v>6446.0000000000027</v>
      </c>
      <c r="O120" s="348" t="s">
        <v>1286</v>
      </c>
      <c r="P120" s="357">
        <v>1</v>
      </c>
      <c r="Q120" s="355">
        <f>SUM(N120/P120)</f>
        <v>6446.0000000000027</v>
      </c>
      <c r="R120" s="347"/>
      <c r="S120" s="120"/>
      <c r="T120" s="343"/>
    </row>
    <row r="121" spans="1:20" s="343" customFormat="1" ht="15" customHeight="1" x14ac:dyDescent="0.2">
      <c r="A121" s="343" t="s">
        <v>984</v>
      </c>
      <c r="B121" s="343" t="s">
        <v>985</v>
      </c>
      <c r="C121" s="343" t="s">
        <v>1269</v>
      </c>
      <c r="D121" s="352">
        <v>41456</v>
      </c>
      <c r="E121" s="352" t="s">
        <v>78</v>
      </c>
      <c r="F121" s="346">
        <v>41450</v>
      </c>
      <c r="G121" s="381">
        <v>1</v>
      </c>
      <c r="H121" s="360">
        <v>138.53</v>
      </c>
      <c r="I121" s="370"/>
      <c r="J121" s="319">
        <v>41469</v>
      </c>
      <c r="K121" s="155">
        <v>140.6</v>
      </c>
      <c r="L121" s="354">
        <v>0.05</v>
      </c>
      <c r="M121" s="353">
        <v>7.5</v>
      </c>
      <c r="N121" s="351">
        <f>SUM((H121-K121)/L121*M121)*G121</f>
        <v>-310.49999999999898</v>
      </c>
      <c r="O121" s="348" t="s">
        <v>1286</v>
      </c>
      <c r="P121" s="357">
        <v>1</v>
      </c>
      <c r="Q121" s="355">
        <f>SUM(N121/P121)</f>
        <v>-310.49999999999898</v>
      </c>
      <c r="R121" s="347"/>
      <c r="S121" s="120"/>
    </row>
    <row r="122" spans="1:20" s="337" customFormat="1" ht="15" customHeight="1" x14ac:dyDescent="0.2">
      <c r="A122" s="337" t="s">
        <v>898</v>
      </c>
      <c r="B122" s="337" t="s">
        <v>44</v>
      </c>
      <c r="C122" s="337" t="s">
        <v>1282</v>
      </c>
      <c r="D122" s="345" t="s">
        <v>1283</v>
      </c>
      <c r="E122" s="345" t="s">
        <v>53</v>
      </c>
      <c r="F122" s="358">
        <v>41467</v>
      </c>
      <c r="G122" s="374">
        <v>1</v>
      </c>
      <c r="H122" s="361">
        <v>300.3</v>
      </c>
      <c r="I122" s="366"/>
      <c r="J122" s="319">
        <v>41492</v>
      </c>
      <c r="K122" s="375">
        <v>289.7</v>
      </c>
      <c r="L122" s="362">
        <v>0.01</v>
      </c>
      <c r="M122" s="359">
        <v>4.2</v>
      </c>
      <c r="N122" s="349">
        <f>SUM((K122-H122)/L122*M122)*G122</f>
        <v>-4452.00000000001</v>
      </c>
      <c r="O122" s="348" t="s">
        <v>1286</v>
      </c>
      <c r="P122" s="356">
        <v>1</v>
      </c>
      <c r="Q122" s="355">
        <f>SUM(N122/P122)</f>
        <v>-4452.00000000001</v>
      </c>
      <c r="R122" s="344"/>
      <c r="S122" s="120"/>
    </row>
    <row r="123" spans="1:20" s="337" customFormat="1" ht="15" customHeight="1" x14ac:dyDescent="0.2">
      <c r="A123" s="337" t="s">
        <v>1168</v>
      </c>
      <c r="B123" s="337" t="s">
        <v>79</v>
      </c>
      <c r="C123" s="337" t="s">
        <v>1315</v>
      </c>
      <c r="D123" s="345">
        <v>41548</v>
      </c>
      <c r="E123" s="345" t="s">
        <v>53</v>
      </c>
      <c r="F123" s="358">
        <v>41513</v>
      </c>
      <c r="G123" s="374">
        <v>1</v>
      </c>
      <c r="H123" s="361">
        <v>108.9</v>
      </c>
      <c r="I123" s="366"/>
      <c r="J123" s="319">
        <v>41516</v>
      </c>
      <c r="K123" s="375">
        <v>107</v>
      </c>
      <c r="L123" s="95">
        <v>0.01</v>
      </c>
      <c r="M123" s="88">
        <v>10</v>
      </c>
      <c r="N123" s="349">
        <f>SUM((K123-H123)/L123*M123)*G123</f>
        <v>-1900.0000000000057</v>
      </c>
      <c r="O123" s="348" t="s">
        <v>885</v>
      </c>
      <c r="P123" s="356">
        <v>1</v>
      </c>
      <c r="Q123" s="350">
        <f>SUM(N123*P123)</f>
        <v>-1900.0000000000057</v>
      </c>
      <c r="R123" s="344"/>
      <c r="S123" s="120"/>
    </row>
    <row r="124" spans="1:20" s="337" customFormat="1" ht="15" customHeight="1" x14ac:dyDescent="0.2">
      <c r="A124" s="337" t="s">
        <v>48</v>
      </c>
      <c r="B124" s="337" t="s">
        <v>47</v>
      </c>
      <c r="C124" s="337" t="s">
        <v>1349</v>
      </c>
      <c r="D124" s="345">
        <v>41518</v>
      </c>
      <c r="E124" s="345" t="s">
        <v>53</v>
      </c>
      <c r="F124" s="358">
        <v>41484</v>
      </c>
      <c r="G124" s="374">
        <v>1</v>
      </c>
      <c r="H124" s="361">
        <v>157.35</v>
      </c>
      <c r="I124" s="366"/>
      <c r="J124" s="319">
        <v>41512</v>
      </c>
      <c r="K124" s="375">
        <v>155.80000000000001</v>
      </c>
      <c r="L124" s="362">
        <v>2.5000000000000001E-2</v>
      </c>
      <c r="M124" s="359">
        <v>12.5</v>
      </c>
      <c r="N124" s="349">
        <f>SUM((K124-H124)/L124*M124)*G124</f>
        <v>-774.99999999999147</v>
      </c>
      <c r="O124" s="348" t="s">
        <v>1286</v>
      </c>
      <c r="P124" s="356">
        <v>1</v>
      </c>
      <c r="Q124" s="355">
        <f t="shared" ref="Q124" si="12">SUM(N124/P124)</f>
        <v>-774.99999999999147</v>
      </c>
      <c r="R124" s="344"/>
      <c r="S124" s="120"/>
    </row>
    <row r="125" spans="1:20" s="337" customFormat="1" ht="15" customHeight="1" x14ac:dyDescent="0.2">
      <c r="A125" s="337" t="s">
        <v>1316</v>
      </c>
      <c r="B125" s="337" t="s">
        <v>49</v>
      </c>
      <c r="C125" s="337" t="s">
        <v>1317</v>
      </c>
      <c r="D125" s="345">
        <v>41518</v>
      </c>
      <c r="E125" s="345" t="s">
        <v>53</v>
      </c>
      <c r="F125" s="358">
        <v>41513</v>
      </c>
      <c r="G125" s="374">
        <v>1</v>
      </c>
      <c r="H125" s="361">
        <v>956</v>
      </c>
      <c r="I125" s="366"/>
      <c r="J125" s="319">
        <v>41519</v>
      </c>
      <c r="K125" s="375">
        <v>956</v>
      </c>
      <c r="L125" s="95">
        <v>0.25</v>
      </c>
      <c r="M125" s="88">
        <v>25</v>
      </c>
      <c r="N125" s="349">
        <f>SUM((K125-H125)/L125*M125)*G125</f>
        <v>0</v>
      </c>
      <c r="O125" s="348" t="s">
        <v>885</v>
      </c>
      <c r="P125" s="356">
        <v>1</v>
      </c>
      <c r="Q125" s="350">
        <f t="shared" ref="Q125:Q130" si="13">SUM(N125*P125)</f>
        <v>0</v>
      </c>
      <c r="R125" s="344"/>
      <c r="S125" s="120"/>
    </row>
    <row r="126" spans="1:20" s="343" customFormat="1" ht="15" customHeight="1" x14ac:dyDescent="0.2">
      <c r="A126" s="337" t="s">
        <v>84</v>
      </c>
      <c r="B126" s="337" t="s">
        <v>83</v>
      </c>
      <c r="C126" s="337" t="s">
        <v>1318</v>
      </c>
      <c r="D126" s="345">
        <v>41548</v>
      </c>
      <c r="E126" s="345" t="s">
        <v>53</v>
      </c>
      <c r="F126" s="358">
        <v>41513</v>
      </c>
      <c r="G126" s="374">
        <v>1</v>
      </c>
      <c r="H126" s="361">
        <v>3.1358999999999999</v>
      </c>
      <c r="I126" s="366"/>
      <c r="J126" s="319">
        <v>41527</v>
      </c>
      <c r="K126" s="356">
        <v>3.0935000000000001</v>
      </c>
      <c r="L126" s="95">
        <v>1E-4</v>
      </c>
      <c r="M126" s="88">
        <v>4.2</v>
      </c>
      <c r="N126" s="349">
        <f>SUM((K126-H126)/L126*M126)*G126</f>
        <v>-1780.7999999999902</v>
      </c>
      <c r="O126" s="348" t="s">
        <v>885</v>
      </c>
      <c r="P126" s="356">
        <v>1</v>
      </c>
      <c r="Q126" s="350">
        <f t="shared" si="13"/>
        <v>-1780.7999999999902</v>
      </c>
      <c r="R126" s="347"/>
      <c r="S126" s="120"/>
    </row>
    <row r="127" spans="1:20" s="343" customFormat="1" ht="15" customHeight="1" x14ac:dyDescent="0.2">
      <c r="A127" s="343" t="s">
        <v>1394</v>
      </c>
      <c r="B127" s="343" t="s">
        <v>1395</v>
      </c>
      <c r="C127" s="343" t="s">
        <v>1396</v>
      </c>
      <c r="D127" s="352">
        <v>41609</v>
      </c>
      <c r="E127" s="352" t="s">
        <v>78</v>
      </c>
      <c r="F127" s="346">
        <v>41554</v>
      </c>
      <c r="G127" s="381">
        <v>1</v>
      </c>
      <c r="H127" s="360">
        <v>1661.25</v>
      </c>
      <c r="I127" s="370"/>
      <c r="J127" s="319">
        <v>41558</v>
      </c>
      <c r="K127" s="155">
        <v>1699.25</v>
      </c>
      <c r="L127" s="354">
        <v>0.25</v>
      </c>
      <c r="M127" s="353">
        <v>12.5</v>
      </c>
      <c r="N127" s="351">
        <f>SUM((H127-K127)/L127*M127)*G127</f>
        <v>-1900</v>
      </c>
      <c r="O127" s="348" t="s">
        <v>686</v>
      </c>
      <c r="P127" s="357">
        <v>1</v>
      </c>
      <c r="Q127" s="355">
        <f t="shared" si="13"/>
        <v>-1900</v>
      </c>
      <c r="R127" s="347"/>
      <c r="S127" s="120"/>
    </row>
    <row r="128" spans="1:20" s="343" customFormat="1" ht="15" customHeight="1" x14ac:dyDescent="0.2">
      <c r="A128" s="337" t="s">
        <v>48</v>
      </c>
      <c r="B128" s="337" t="s">
        <v>47</v>
      </c>
      <c r="C128" s="337" t="s">
        <v>1376</v>
      </c>
      <c r="D128" s="345">
        <v>41548</v>
      </c>
      <c r="E128" s="345" t="s">
        <v>53</v>
      </c>
      <c r="F128" s="358">
        <v>41548</v>
      </c>
      <c r="G128" s="374">
        <v>1</v>
      </c>
      <c r="H128" s="361">
        <v>165.57499999999999</v>
      </c>
      <c r="I128" s="366"/>
      <c r="J128" s="319">
        <v>41577</v>
      </c>
      <c r="K128" s="375">
        <v>165.4</v>
      </c>
      <c r="L128" s="95">
        <v>2.5000000000000001E-2</v>
      </c>
      <c r="M128" s="88">
        <v>12.5</v>
      </c>
      <c r="N128" s="349">
        <f>SUM((K128-H128)/L128*M128)*G128</f>
        <v>-87.499999999991473</v>
      </c>
      <c r="O128" s="348" t="s">
        <v>885</v>
      </c>
      <c r="P128" s="356">
        <v>1</v>
      </c>
      <c r="Q128" s="350">
        <f t="shared" si="13"/>
        <v>-87.499999999991473</v>
      </c>
      <c r="R128" s="347"/>
      <c r="S128" s="120"/>
    </row>
    <row r="129" spans="1:19" s="343" customFormat="1" ht="15" customHeight="1" x14ac:dyDescent="0.2">
      <c r="A129" s="337" t="s">
        <v>46</v>
      </c>
      <c r="B129" s="337" t="s">
        <v>45</v>
      </c>
      <c r="C129" s="337" t="s">
        <v>1377</v>
      </c>
      <c r="D129" s="345">
        <v>41609</v>
      </c>
      <c r="E129" s="345" t="s">
        <v>53</v>
      </c>
      <c r="F129" s="358">
        <v>41547</v>
      </c>
      <c r="G129" s="374">
        <v>1</v>
      </c>
      <c r="H129" s="361">
        <v>691.5</v>
      </c>
      <c r="I129" s="366"/>
      <c r="J129" s="319">
        <v>41575</v>
      </c>
      <c r="K129" s="375">
        <v>686.4</v>
      </c>
      <c r="L129" s="362">
        <v>2.5000000000000001E-2</v>
      </c>
      <c r="M129" s="359">
        <v>12.5</v>
      </c>
      <c r="N129" s="349">
        <f>SUM((K129-H129)/L129*M129)*G129</f>
        <v>-2550.0000000000114</v>
      </c>
      <c r="O129" s="348" t="s">
        <v>885</v>
      </c>
      <c r="P129" s="356">
        <v>1</v>
      </c>
      <c r="Q129" s="350">
        <f t="shared" si="13"/>
        <v>-2550.0000000000114</v>
      </c>
      <c r="R129" s="347"/>
      <c r="S129" s="120"/>
    </row>
    <row r="130" spans="1:19" s="343" customFormat="1" ht="15" customHeight="1" x14ac:dyDescent="0.2">
      <c r="A130" s="343" t="s">
        <v>927</v>
      </c>
      <c r="B130" s="343" t="s">
        <v>2</v>
      </c>
      <c r="C130" s="343" t="s">
        <v>1472</v>
      </c>
      <c r="D130" s="352">
        <v>41275</v>
      </c>
      <c r="E130" s="352" t="s">
        <v>78</v>
      </c>
      <c r="F130" s="346">
        <v>41584</v>
      </c>
      <c r="G130" s="381">
        <v>1</v>
      </c>
      <c r="H130" s="360">
        <v>103.42</v>
      </c>
      <c r="I130" s="370"/>
      <c r="J130" s="319">
        <v>41590</v>
      </c>
      <c r="K130" s="155">
        <v>106.87</v>
      </c>
      <c r="L130" s="354">
        <v>0.01</v>
      </c>
      <c r="M130" s="353">
        <v>10</v>
      </c>
      <c r="N130" s="351">
        <f>SUM((H130-K130)/L130*M130)*G130</f>
        <v>-3450.0000000000027</v>
      </c>
      <c r="O130" s="348" t="s">
        <v>686</v>
      </c>
      <c r="P130" s="357">
        <v>1</v>
      </c>
      <c r="Q130" s="355">
        <f t="shared" si="13"/>
        <v>-3450.0000000000027</v>
      </c>
      <c r="R130" s="347"/>
      <c r="S130" s="120"/>
    </row>
    <row r="131" spans="1:19" s="343" customFormat="1" ht="15" customHeight="1" x14ac:dyDescent="0.2">
      <c r="D131" s="352"/>
      <c r="E131" s="352"/>
      <c r="F131" s="346"/>
      <c r="G131" s="381"/>
      <c r="H131" s="360"/>
      <c r="I131" s="370"/>
      <c r="J131" s="367"/>
      <c r="K131" s="155"/>
      <c r="L131" s="354"/>
      <c r="M131" s="353"/>
      <c r="N131" s="351"/>
      <c r="O131" s="348"/>
      <c r="P131" s="357"/>
      <c r="Q131" s="355"/>
      <c r="R131" s="347"/>
      <c r="S131" s="120"/>
    </row>
    <row r="132" spans="1:19" s="343" customFormat="1" ht="15" customHeight="1" x14ac:dyDescent="0.2">
      <c r="D132" s="352"/>
      <c r="E132" s="352"/>
      <c r="F132" s="346"/>
      <c r="G132" s="381"/>
      <c r="H132" s="360"/>
      <c r="I132" s="370"/>
      <c r="J132" s="367"/>
      <c r="K132" s="155"/>
      <c r="L132" s="354"/>
      <c r="M132" s="353"/>
      <c r="N132" s="351"/>
      <c r="O132" s="348"/>
      <c r="P132" s="357"/>
      <c r="Q132" s="355"/>
      <c r="R132" s="347"/>
      <c r="S132" s="120"/>
    </row>
    <row r="133" spans="1:19" s="343" customFormat="1" ht="15" customHeight="1" x14ac:dyDescent="0.2">
      <c r="D133" s="352"/>
      <c r="E133" s="352"/>
      <c r="F133" s="346"/>
      <c r="G133" s="381"/>
      <c r="H133" s="360"/>
      <c r="I133" s="370"/>
      <c r="J133" s="367"/>
      <c r="K133" s="155"/>
      <c r="L133" s="354"/>
      <c r="M133" s="353"/>
      <c r="N133" s="351"/>
      <c r="O133" s="348"/>
      <c r="P133" s="357"/>
      <c r="Q133" s="355"/>
      <c r="R133" s="347"/>
      <c r="S133" s="120"/>
    </row>
    <row r="134" spans="1:19" s="343" customFormat="1" ht="15" customHeight="1" x14ac:dyDescent="0.2">
      <c r="D134" s="352"/>
      <c r="E134" s="352"/>
      <c r="F134" s="346"/>
      <c r="G134" s="381"/>
      <c r="H134" s="360"/>
      <c r="I134" s="370"/>
      <c r="J134" s="367"/>
      <c r="K134" s="155"/>
      <c r="L134" s="354"/>
      <c r="M134" s="353"/>
      <c r="N134" s="351"/>
      <c r="O134" s="348"/>
      <c r="P134" s="357"/>
      <c r="Q134" s="355"/>
      <c r="R134" s="347"/>
      <c r="S134" s="120"/>
    </row>
    <row r="135" spans="1:19" s="343" customFormat="1" ht="15" customHeight="1" x14ac:dyDescent="0.2">
      <c r="D135" s="352"/>
      <c r="E135" s="352"/>
      <c r="F135" s="346"/>
      <c r="G135" s="381"/>
      <c r="H135" s="360"/>
      <c r="I135" s="370"/>
      <c r="J135" s="367"/>
      <c r="K135" s="155"/>
      <c r="L135" s="354"/>
      <c r="M135" s="353"/>
      <c r="N135" s="351"/>
      <c r="O135" s="348"/>
      <c r="P135" s="357"/>
      <c r="Q135" s="355"/>
      <c r="R135" s="347"/>
      <c r="S135" s="120"/>
    </row>
    <row r="136" spans="1:19" s="102" customFormat="1" ht="15" customHeight="1" x14ac:dyDescent="0.2">
      <c r="A136" s="80"/>
      <c r="B136" s="80"/>
      <c r="C136" s="2"/>
      <c r="D136" s="2"/>
      <c r="E136" s="80"/>
      <c r="F136" s="79"/>
      <c r="G136" s="78"/>
      <c r="H136" s="270"/>
      <c r="I136" s="101"/>
      <c r="J136" s="79"/>
      <c r="K136" s="259"/>
      <c r="L136" s="317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 x14ac:dyDescent="0.3">
      <c r="A137" s="39" t="s">
        <v>39</v>
      </c>
      <c r="B137" s="39"/>
      <c r="C137" s="39"/>
      <c r="D137" s="75"/>
      <c r="E137" s="75"/>
      <c r="F137" s="313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 x14ac:dyDescent="0.2">
      <c r="A138" s="27"/>
      <c r="B138" s="27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 x14ac:dyDescent="0.2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6"/>
  <sheetViews>
    <sheetView topLeftCell="A82" zoomScale="85" zoomScaleNormal="85" workbookViewId="0">
      <selection activeCell="Q116" sqref="Q116"/>
    </sheetView>
  </sheetViews>
  <sheetFormatPr defaultRowHeight="12" x14ac:dyDescent="0.2"/>
  <cols>
    <col min="1" max="1" width="23.5703125" style="602" customWidth="1"/>
    <col min="2" max="2" width="6.28515625" style="602" bestFit="1" customWidth="1"/>
    <col min="3" max="3" width="7" style="602" bestFit="1" customWidth="1"/>
    <col min="4" max="4" width="10.28515625" style="718" customWidth="1"/>
    <col min="5" max="5" width="4.85546875" style="719" bestFit="1" customWidth="1"/>
    <col min="6" max="6" width="11.5703125" style="602" bestFit="1" customWidth="1"/>
    <col min="7" max="7" width="4.140625" style="602" customWidth="1"/>
    <col min="8" max="8" width="12.5703125" style="746" customWidth="1"/>
    <col min="9" max="9" width="2.28515625" style="602" customWidth="1"/>
    <col min="10" max="10" width="11" style="605" bestFit="1" customWidth="1"/>
    <col min="11" max="11" width="11.42578125" style="746" bestFit="1" customWidth="1"/>
    <col min="12" max="12" width="8.140625" style="721" bestFit="1" customWidth="1"/>
    <col min="13" max="13" width="9.5703125" style="722" bestFit="1" customWidth="1"/>
    <col min="14" max="14" width="17.140625" style="723" bestFit="1" customWidth="1"/>
    <col min="15" max="15" width="8" style="718" bestFit="1" customWidth="1"/>
    <col min="16" max="16" width="13.5703125" style="608" bestFit="1" customWidth="1"/>
    <col min="17" max="17" width="12.5703125" style="724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 x14ac:dyDescent="0.2">
      <c r="A2" s="600" t="s">
        <v>903</v>
      </c>
      <c r="H2" s="720"/>
      <c r="I2" s="720"/>
      <c r="J2" s="720"/>
      <c r="K2" s="720"/>
    </row>
    <row r="3" spans="1:19" x14ac:dyDescent="0.2">
      <c r="A3" s="600"/>
      <c r="H3" s="725"/>
      <c r="I3" s="725"/>
      <c r="J3" s="725"/>
      <c r="K3" s="604"/>
    </row>
    <row r="4" spans="1:19" s="7" customFormat="1" ht="12.75" thickBot="1" x14ac:dyDescent="0.25">
      <c r="A4" s="610">
        <f>SUM(N6,N24)</f>
        <v>13413.840283491427</v>
      </c>
      <c r="B4" s="600"/>
      <c r="C4" s="600"/>
      <c r="D4" s="726"/>
      <c r="E4" s="727"/>
      <c r="F4" s="611"/>
      <c r="G4" s="600"/>
      <c r="H4" s="728"/>
      <c r="I4" s="600"/>
      <c r="J4" s="614"/>
      <c r="K4" s="729"/>
      <c r="L4" s="730"/>
      <c r="M4" s="731"/>
      <c r="N4" s="732"/>
      <c r="O4" s="726"/>
      <c r="P4" s="733"/>
      <c r="Q4" s="734"/>
      <c r="R4" s="12"/>
    </row>
    <row r="5" spans="1:19" s="7" customFormat="1" ht="12.75" thickTop="1" x14ac:dyDescent="0.2">
      <c r="A5" s="735"/>
      <c r="B5" s="600"/>
      <c r="C5" s="600"/>
      <c r="D5" s="726"/>
      <c r="E5" s="726"/>
      <c r="F5" s="611"/>
      <c r="G5" s="600"/>
      <c r="H5" s="736"/>
      <c r="I5" s="600"/>
      <c r="J5" s="614"/>
      <c r="K5" s="729"/>
      <c r="L5" s="730"/>
      <c r="M5" s="731"/>
      <c r="N5" s="732"/>
      <c r="O5" s="726"/>
      <c r="P5" s="733"/>
      <c r="Q5" s="734"/>
      <c r="R5" s="12"/>
    </row>
    <row r="6" spans="1:19" s="14" customFormat="1" ht="15.75" x14ac:dyDescent="0.25">
      <c r="A6" s="622"/>
      <c r="B6" s="623"/>
      <c r="C6" s="623"/>
      <c r="D6" s="737"/>
      <c r="E6" s="737"/>
      <c r="F6" s="623"/>
      <c r="G6" s="623" t="s">
        <v>36</v>
      </c>
      <c r="H6" s="738"/>
      <c r="I6" s="623"/>
      <c r="J6" s="626"/>
      <c r="K6" s="739"/>
      <c r="L6" s="740"/>
      <c r="M6" s="741"/>
      <c r="N6" s="628">
        <f>SUM(Q19)</f>
        <v>0</v>
      </c>
      <c r="O6" s="737"/>
      <c r="P6" s="742"/>
      <c r="Q6" s="743"/>
      <c r="R6" s="231"/>
      <c r="S6" s="3"/>
    </row>
    <row r="7" spans="1:19" s="2" customFormat="1" ht="15" customHeight="1" x14ac:dyDescent="0.2">
      <c r="A7" s="601"/>
      <c r="B7" s="601" t="s">
        <v>678</v>
      </c>
      <c r="C7" s="601"/>
      <c r="D7" s="719" t="s">
        <v>9</v>
      </c>
      <c r="E7" s="719"/>
      <c r="F7" s="601" t="s">
        <v>17</v>
      </c>
      <c r="G7" s="601" t="s">
        <v>41</v>
      </c>
      <c r="H7" s="744" t="s">
        <v>19</v>
      </c>
      <c r="I7" s="601"/>
      <c r="J7" s="617" t="s">
        <v>887</v>
      </c>
      <c r="K7" s="744" t="s">
        <v>681</v>
      </c>
      <c r="L7" s="730" t="s">
        <v>5</v>
      </c>
      <c r="M7" s="731" t="s">
        <v>16</v>
      </c>
      <c r="N7" s="745" t="s">
        <v>682</v>
      </c>
      <c r="O7" s="719" t="s">
        <v>678</v>
      </c>
      <c r="P7" s="621" t="s">
        <v>10</v>
      </c>
      <c r="Q7" s="734" t="s">
        <v>15</v>
      </c>
      <c r="R7" s="62" t="s">
        <v>4</v>
      </c>
    </row>
    <row r="8" spans="1:19" s="2" customFormat="1" ht="15" customHeight="1" x14ac:dyDescent="0.2">
      <c r="A8" s="601"/>
      <c r="B8" s="601" t="s">
        <v>0</v>
      </c>
      <c r="C8" s="601" t="s">
        <v>8</v>
      </c>
      <c r="D8" s="719" t="s">
        <v>679</v>
      </c>
      <c r="E8" s="719" t="s">
        <v>181</v>
      </c>
      <c r="F8" s="601" t="s">
        <v>25</v>
      </c>
      <c r="G8" s="601"/>
      <c r="H8" s="744"/>
      <c r="I8" s="601"/>
      <c r="J8" s="617" t="s">
        <v>888</v>
      </c>
      <c r="K8" s="744" t="s">
        <v>18</v>
      </c>
      <c r="L8" s="730"/>
      <c r="M8" s="731" t="s">
        <v>42</v>
      </c>
      <c r="N8" s="745" t="s">
        <v>683</v>
      </c>
      <c r="O8" s="719" t="s">
        <v>680</v>
      </c>
      <c r="P8" s="621" t="s">
        <v>839</v>
      </c>
      <c r="Q8" s="632" t="s">
        <v>885</v>
      </c>
      <c r="R8" s="62"/>
    </row>
    <row r="9" spans="1:19" s="2" customFormat="1" ht="15" customHeight="1" x14ac:dyDescent="0.2">
      <c r="A9" s="601"/>
      <c r="B9" s="601"/>
      <c r="C9" s="601"/>
      <c r="D9" s="719"/>
      <c r="E9" s="719"/>
      <c r="F9" s="601"/>
      <c r="G9" s="601"/>
      <c r="H9" s="744"/>
      <c r="I9" s="601"/>
      <c r="J9" s="617"/>
      <c r="K9" s="744"/>
      <c r="L9" s="730"/>
      <c r="M9" s="731"/>
      <c r="N9" s="745"/>
      <c r="O9" s="719"/>
      <c r="P9" s="621" t="s">
        <v>19</v>
      </c>
      <c r="Q9" s="734"/>
      <c r="R9" s="62"/>
    </row>
    <row r="10" spans="1:19" s="2" customFormat="1" ht="15" customHeight="1" x14ac:dyDescent="0.2">
      <c r="A10" s="601" t="s">
        <v>944</v>
      </c>
      <c r="B10" s="601" t="s">
        <v>33</v>
      </c>
      <c r="C10" s="601" t="s">
        <v>40</v>
      </c>
      <c r="D10" s="719">
        <v>40919</v>
      </c>
      <c r="E10" s="719" t="s">
        <v>53</v>
      </c>
      <c r="F10" s="617">
        <v>40544</v>
      </c>
      <c r="G10" s="601">
        <v>1</v>
      </c>
      <c r="H10" s="744">
        <v>1</v>
      </c>
      <c r="I10" s="609"/>
      <c r="J10" s="656"/>
      <c r="K10" s="746">
        <v>1</v>
      </c>
      <c r="L10" s="721">
        <v>1</v>
      </c>
      <c r="M10" s="722">
        <v>10</v>
      </c>
      <c r="N10" s="723">
        <f>SUM((K10-H10)/L10*M10)*G10</f>
        <v>0</v>
      </c>
      <c r="O10" s="719" t="s">
        <v>685</v>
      </c>
      <c r="P10" s="608">
        <v>1</v>
      </c>
      <c r="Q10" s="724">
        <f>SUM(N10*P10)</f>
        <v>0</v>
      </c>
      <c r="R10" s="62"/>
    </row>
    <row r="11" spans="1:19" s="806" customFormat="1" ht="15" customHeight="1" x14ac:dyDescent="0.2">
      <c r="A11" s="793" t="s">
        <v>945</v>
      </c>
      <c r="B11" s="793" t="s">
        <v>33</v>
      </c>
      <c r="C11" s="793" t="s">
        <v>40</v>
      </c>
      <c r="D11" s="794">
        <v>40919</v>
      </c>
      <c r="E11" s="794" t="s">
        <v>78</v>
      </c>
      <c r="F11" s="795">
        <v>40544</v>
      </c>
      <c r="G11" s="793">
        <v>1</v>
      </c>
      <c r="H11" s="796">
        <v>1</v>
      </c>
      <c r="I11" s="797"/>
      <c r="J11" s="798"/>
      <c r="K11" s="799">
        <v>1</v>
      </c>
      <c r="L11" s="800">
        <v>1</v>
      </c>
      <c r="M11" s="801">
        <v>10</v>
      </c>
      <c r="N11" s="802">
        <f>SUM((H11-K11)/L11*M11)*G11</f>
        <v>0</v>
      </c>
      <c r="O11" s="794" t="s">
        <v>686</v>
      </c>
      <c r="P11" s="803">
        <v>1</v>
      </c>
      <c r="Q11" s="804">
        <f>SUM(N11*P11)</f>
        <v>0</v>
      </c>
      <c r="R11" s="805"/>
    </row>
    <row r="12" spans="1:19" s="17" customFormat="1" ht="15" customHeight="1" x14ac:dyDescent="0.2">
      <c r="A12" s="642"/>
      <c r="B12" s="642"/>
      <c r="C12" s="642"/>
      <c r="D12" s="747"/>
      <c r="E12" s="747"/>
      <c r="F12" s="748"/>
      <c r="G12" s="642"/>
      <c r="H12" s="749"/>
      <c r="I12" s="668"/>
      <c r="J12" s="701"/>
      <c r="K12" s="750"/>
      <c r="L12" s="751"/>
      <c r="M12" s="752"/>
      <c r="N12" s="753"/>
      <c r="O12" s="747"/>
      <c r="P12" s="665"/>
      <c r="Q12" s="754"/>
      <c r="R12" s="283"/>
    </row>
    <row r="18" spans="1:19" s="8" customFormat="1" ht="15" customHeight="1" x14ac:dyDescent="0.2">
      <c r="A18" s="663"/>
      <c r="B18" s="663"/>
      <c r="C18" s="663"/>
      <c r="D18" s="755"/>
      <c r="E18" s="747"/>
      <c r="F18" s="666"/>
      <c r="G18" s="663"/>
      <c r="H18" s="750"/>
      <c r="I18" s="666"/>
      <c r="J18" s="667"/>
      <c r="K18" s="750"/>
      <c r="L18" s="721"/>
      <c r="M18" s="722"/>
      <c r="N18" s="723"/>
      <c r="O18" s="755"/>
      <c r="P18" s="665"/>
      <c r="Q18" s="754"/>
      <c r="R18" s="176"/>
    </row>
    <row r="19" spans="1:19" s="14" customFormat="1" ht="16.5" thickBot="1" x14ac:dyDescent="0.3">
      <c r="A19" s="669" t="s">
        <v>38</v>
      </c>
      <c r="B19" s="669"/>
      <c r="C19" s="669"/>
      <c r="D19" s="756"/>
      <c r="E19" s="756"/>
      <c r="F19" s="669"/>
      <c r="G19" s="669"/>
      <c r="H19" s="757"/>
      <c r="I19" s="672"/>
      <c r="J19" s="673"/>
      <c r="K19" s="757"/>
      <c r="L19" s="758"/>
      <c r="M19" s="759"/>
      <c r="N19" s="760"/>
      <c r="O19" s="756"/>
      <c r="P19" s="675"/>
      <c r="Q19" s="761">
        <f>SUM(Q12:Q18)</f>
        <v>0</v>
      </c>
      <c r="R19" s="37"/>
      <c r="S19" s="3"/>
    </row>
    <row r="20" spans="1:19" s="14" customFormat="1" ht="16.5" thickTop="1" x14ac:dyDescent="0.25">
      <c r="A20" s="676"/>
      <c r="B20" s="676"/>
      <c r="C20" s="676"/>
      <c r="D20" s="762"/>
      <c r="E20" s="762"/>
      <c r="F20" s="676"/>
      <c r="G20" s="676"/>
      <c r="H20" s="763"/>
      <c r="I20" s="679"/>
      <c r="J20" s="680"/>
      <c r="K20" s="763"/>
      <c r="L20" s="764"/>
      <c r="M20" s="765"/>
      <c r="N20" s="766"/>
      <c r="O20" s="762"/>
      <c r="P20" s="682"/>
      <c r="Q20" s="767"/>
      <c r="R20" s="50"/>
      <c r="S20" s="3"/>
    </row>
    <row r="21" spans="1:19" x14ac:dyDescent="0.2">
      <c r="A21" s="685"/>
      <c r="B21" s="685"/>
      <c r="C21" s="685"/>
      <c r="D21" s="768"/>
      <c r="E21" s="769"/>
      <c r="F21" s="684"/>
      <c r="G21" s="685"/>
      <c r="H21" s="770"/>
      <c r="I21" s="684"/>
      <c r="J21" s="688"/>
      <c r="K21" s="770"/>
      <c r="L21" s="771"/>
      <c r="M21" s="772"/>
      <c r="N21" s="773"/>
      <c r="O21" s="768"/>
      <c r="P21" s="690"/>
      <c r="Q21" s="774"/>
      <c r="R21" s="44"/>
    </row>
    <row r="22" spans="1:19" x14ac:dyDescent="0.2">
      <c r="A22" s="685"/>
      <c r="B22" s="685"/>
      <c r="C22" s="685"/>
      <c r="D22" s="768"/>
      <c r="E22" s="769"/>
      <c r="F22" s="685"/>
      <c r="G22" s="685"/>
      <c r="H22" s="770"/>
      <c r="I22" s="685"/>
      <c r="J22" s="688"/>
      <c r="K22" s="770"/>
      <c r="L22" s="771"/>
      <c r="M22" s="772"/>
      <c r="N22" s="773"/>
      <c r="O22" s="768"/>
      <c r="P22" s="690"/>
      <c r="Q22" s="774"/>
      <c r="R22" s="44"/>
    </row>
    <row r="23" spans="1:19" x14ac:dyDescent="0.2">
      <c r="A23" s="663"/>
      <c r="B23" s="663"/>
      <c r="C23" s="663"/>
      <c r="D23" s="755"/>
      <c r="E23" s="747"/>
      <c r="F23" s="663"/>
      <c r="G23" s="663"/>
      <c r="H23" s="750"/>
      <c r="I23" s="663"/>
      <c r="J23" s="691"/>
      <c r="K23" s="750"/>
      <c r="L23" s="751"/>
      <c r="M23" s="752"/>
      <c r="N23" s="753"/>
      <c r="O23" s="755"/>
      <c r="P23" s="665"/>
      <c r="Q23" s="754"/>
      <c r="R23" s="9"/>
    </row>
    <row r="24" spans="1:19" s="22" customFormat="1" ht="18.75" x14ac:dyDescent="0.3">
      <c r="A24" s="775"/>
      <c r="B24" s="692"/>
      <c r="C24" s="692"/>
      <c r="D24" s="776"/>
      <c r="E24" s="776"/>
      <c r="F24" s="692"/>
      <c r="G24" s="692" t="s">
        <v>37</v>
      </c>
      <c r="H24" s="777"/>
      <c r="I24" s="692"/>
      <c r="J24" s="695"/>
      <c r="K24" s="777"/>
      <c r="L24" s="778"/>
      <c r="M24" s="779"/>
      <c r="N24" s="697">
        <f>SUM(Q115)</f>
        <v>13413.840283491427</v>
      </c>
      <c r="O24" s="776"/>
      <c r="P24" s="699"/>
      <c r="Q24" s="780"/>
      <c r="R24" s="204"/>
      <c r="S24" s="1"/>
    </row>
    <row r="25" spans="1:19" s="8" customFormat="1" ht="15" customHeight="1" x14ac:dyDescent="0.2">
      <c r="A25" s="602"/>
      <c r="B25" s="602"/>
      <c r="C25" s="602"/>
      <c r="D25" s="718"/>
      <c r="E25" s="719"/>
      <c r="F25" s="602"/>
      <c r="G25" s="602"/>
      <c r="H25" s="746"/>
      <c r="I25" s="602"/>
      <c r="J25" s="605"/>
      <c r="K25" s="746"/>
      <c r="L25" s="721"/>
      <c r="M25" s="722"/>
      <c r="N25" s="723"/>
      <c r="O25" s="718"/>
      <c r="P25" s="608"/>
      <c r="Q25" s="724"/>
      <c r="R25" s="19" t="s">
        <v>3</v>
      </c>
    </row>
    <row r="26" spans="1:19" s="2" customFormat="1" ht="15" customHeight="1" x14ac:dyDescent="0.2">
      <c r="A26" s="601"/>
      <c r="B26" s="601"/>
      <c r="C26" s="601"/>
      <c r="D26" s="719"/>
      <c r="E26" s="719"/>
      <c r="F26" s="601"/>
      <c r="G26" s="601"/>
      <c r="H26" s="744"/>
      <c r="I26" s="601"/>
      <c r="J26" s="605"/>
      <c r="K26" s="744"/>
      <c r="L26" s="730"/>
      <c r="M26" s="731"/>
      <c r="N26" s="745"/>
      <c r="O26" s="719"/>
      <c r="P26" s="621"/>
      <c r="Q26" s="734"/>
      <c r="R26" s="62"/>
    </row>
    <row r="27" spans="1:19" s="2" customFormat="1" ht="15" customHeight="1" x14ac:dyDescent="0.2">
      <c r="A27" s="601"/>
      <c r="B27" s="601" t="s">
        <v>678</v>
      </c>
      <c r="C27" s="601"/>
      <c r="D27" s="719" t="s">
        <v>9</v>
      </c>
      <c r="E27" s="719"/>
      <c r="F27" s="601" t="s">
        <v>17</v>
      </c>
      <c r="G27" s="601" t="s">
        <v>41</v>
      </c>
      <c r="H27" s="744" t="s">
        <v>19</v>
      </c>
      <c r="I27" s="601"/>
      <c r="J27" s="617" t="s">
        <v>29</v>
      </c>
      <c r="K27" s="744" t="s">
        <v>681</v>
      </c>
      <c r="L27" s="730" t="s">
        <v>5</v>
      </c>
      <c r="M27" s="731" t="s">
        <v>16</v>
      </c>
      <c r="N27" s="745" t="s">
        <v>682</v>
      </c>
      <c r="O27" s="719" t="s">
        <v>678</v>
      </c>
      <c r="P27" s="621" t="s">
        <v>10</v>
      </c>
      <c r="Q27" s="632" t="s">
        <v>15</v>
      </c>
      <c r="R27" s="62" t="s">
        <v>4</v>
      </c>
    </row>
    <row r="28" spans="1:19" s="2" customFormat="1" ht="15" customHeight="1" x14ac:dyDescent="0.2">
      <c r="A28" s="601"/>
      <c r="B28" s="601" t="s">
        <v>0</v>
      </c>
      <c r="C28" s="601" t="s">
        <v>8</v>
      </c>
      <c r="D28" s="719" t="s">
        <v>679</v>
      </c>
      <c r="E28" s="719" t="s">
        <v>181</v>
      </c>
      <c r="F28" s="601" t="s">
        <v>25</v>
      </c>
      <c r="G28" s="601"/>
      <c r="H28" s="744"/>
      <c r="I28" s="601"/>
      <c r="J28" s="617" t="s">
        <v>7</v>
      </c>
      <c r="K28" s="744" t="s">
        <v>18</v>
      </c>
      <c r="L28" s="730"/>
      <c r="M28" s="731" t="s">
        <v>42</v>
      </c>
      <c r="N28" s="745" t="s">
        <v>683</v>
      </c>
      <c r="O28" s="719" t="s">
        <v>680</v>
      </c>
      <c r="P28" s="621" t="s">
        <v>14</v>
      </c>
      <c r="Q28" s="632" t="s">
        <v>885</v>
      </c>
      <c r="R28" s="62"/>
    </row>
    <row r="29" spans="1:19" s="17" customFormat="1" ht="15" customHeight="1" x14ac:dyDescent="0.2">
      <c r="A29" s="642"/>
      <c r="B29" s="642"/>
      <c r="C29" s="642"/>
      <c r="D29" s="747"/>
      <c r="E29" s="747"/>
      <c r="F29" s="748"/>
      <c r="G29" s="642"/>
      <c r="H29" s="749"/>
      <c r="I29" s="668"/>
      <c r="J29" s="662"/>
      <c r="K29" s="750"/>
      <c r="L29" s="751"/>
      <c r="M29" s="752"/>
      <c r="N29" s="753"/>
      <c r="O29" s="747"/>
      <c r="P29" s="621" t="s">
        <v>1302</v>
      </c>
      <c r="Q29" s="754"/>
      <c r="R29" s="283"/>
    </row>
    <row r="30" spans="1:19" s="17" customFormat="1" ht="15" customHeight="1" x14ac:dyDescent="0.2">
      <c r="A30" s="642"/>
      <c r="B30" s="642"/>
      <c r="C30" s="642"/>
      <c r="D30" s="747"/>
      <c r="E30" s="747"/>
      <c r="F30" s="748"/>
      <c r="G30" s="642"/>
      <c r="H30" s="749"/>
      <c r="I30" s="668"/>
      <c r="J30" s="662"/>
      <c r="K30" s="750"/>
      <c r="L30" s="751"/>
      <c r="M30" s="752"/>
      <c r="N30" s="753"/>
      <c r="O30" s="747"/>
      <c r="P30" s="621" t="s">
        <v>1303</v>
      </c>
      <c r="Q30" s="754"/>
      <c r="R30" s="283"/>
    </row>
    <row r="31" spans="1:19" s="18" customFormat="1" ht="15" customHeight="1" x14ac:dyDescent="0.2">
      <c r="A31" s="642" t="s">
        <v>900</v>
      </c>
      <c r="B31" s="642" t="s">
        <v>901</v>
      </c>
      <c r="C31" s="642" t="s">
        <v>902</v>
      </c>
      <c r="D31" s="747">
        <v>41334</v>
      </c>
      <c r="E31" s="747" t="s">
        <v>78</v>
      </c>
      <c r="F31" s="748">
        <v>41302</v>
      </c>
      <c r="G31" s="642">
        <v>1</v>
      </c>
      <c r="H31" s="749">
        <v>2169</v>
      </c>
      <c r="I31" s="668"/>
      <c r="J31" s="662">
        <v>41305</v>
      </c>
      <c r="K31" s="750">
        <v>2209</v>
      </c>
      <c r="L31" s="751">
        <v>1</v>
      </c>
      <c r="M31" s="752">
        <v>10</v>
      </c>
      <c r="N31" s="753">
        <f>SUM((H31-K31)/L31*M31)*G31</f>
        <v>-400</v>
      </c>
      <c r="O31" s="747" t="s">
        <v>885</v>
      </c>
      <c r="P31" s="665">
        <v>1</v>
      </c>
      <c r="Q31" s="754">
        <f t="shared" ref="Q31:Q37" si="0">SUM(N31*P31)</f>
        <v>-400</v>
      </c>
      <c r="R31" s="176"/>
    </row>
    <row r="32" spans="1:19" s="2" customFormat="1" ht="15" customHeight="1" x14ac:dyDescent="0.2">
      <c r="A32" s="601" t="s">
        <v>80</v>
      </c>
      <c r="B32" s="601" t="s">
        <v>79</v>
      </c>
      <c r="C32" s="601" t="s">
        <v>911</v>
      </c>
      <c r="D32" s="719">
        <v>41334</v>
      </c>
      <c r="E32" s="719" t="s">
        <v>53</v>
      </c>
      <c r="F32" s="617">
        <v>41303</v>
      </c>
      <c r="G32" s="601">
        <v>1</v>
      </c>
      <c r="H32" s="744">
        <v>97.63</v>
      </c>
      <c r="I32" s="609"/>
      <c r="J32" s="701">
        <v>41309</v>
      </c>
      <c r="K32" s="746">
        <v>96.15</v>
      </c>
      <c r="L32" s="721">
        <v>0.01</v>
      </c>
      <c r="M32" s="722">
        <v>10</v>
      </c>
      <c r="N32" s="723">
        <f t="shared" ref="N32:N37" si="1">SUM((K32-H32)/L32*M32)*G32</f>
        <v>-1479.9999999999898</v>
      </c>
      <c r="O32" s="719" t="s">
        <v>885</v>
      </c>
      <c r="P32" s="665">
        <v>1</v>
      </c>
      <c r="Q32" s="724">
        <f t="shared" si="0"/>
        <v>-1479.9999999999898</v>
      </c>
      <c r="R32" s="62"/>
    </row>
    <row r="33" spans="1:18" s="2" customFormat="1" ht="15" customHeight="1" x14ac:dyDescent="0.2">
      <c r="A33" s="601" t="s">
        <v>917</v>
      </c>
      <c r="B33" s="601" t="s">
        <v>81</v>
      </c>
      <c r="C33" s="601" t="s">
        <v>918</v>
      </c>
      <c r="D33" s="719">
        <v>41306</v>
      </c>
      <c r="E33" s="719" t="s">
        <v>53</v>
      </c>
      <c r="F33" s="617">
        <v>41304</v>
      </c>
      <c r="G33" s="601">
        <v>1</v>
      </c>
      <c r="H33" s="744">
        <v>97.62</v>
      </c>
      <c r="I33" s="609"/>
      <c r="J33" s="701">
        <v>41309</v>
      </c>
      <c r="K33" s="746">
        <v>96.22</v>
      </c>
      <c r="L33" s="721">
        <v>0.01</v>
      </c>
      <c r="M33" s="722">
        <v>10</v>
      </c>
      <c r="N33" s="723">
        <f t="shared" si="1"/>
        <v>-1400.0000000000057</v>
      </c>
      <c r="O33" s="719" t="s">
        <v>885</v>
      </c>
      <c r="P33" s="665">
        <v>1</v>
      </c>
      <c r="Q33" s="724">
        <f t="shared" si="0"/>
        <v>-1400.0000000000057</v>
      </c>
      <c r="R33" s="62"/>
    </row>
    <row r="34" spans="1:18" s="2" customFormat="1" ht="15" customHeight="1" x14ac:dyDescent="0.2">
      <c r="A34" s="601" t="s">
        <v>922</v>
      </c>
      <c r="B34" s="601" t="s">
        <v>923</v>
      </c>
      <c r="C34" s="601" t="s">
        <v>924</v>
      </c>
      <c r="D34" s="719">
        <v>41334</v>
      </c>
      <c r="E34" s="719" t="s">
        <v>53</v>
      </c>
      <c r="F34" s="617">
        <v>41306</v>
      </c>
      <c r="G34" s="601">
        <v>1</v>
      </c>
      <c r="H34" s="744">
        <v>53.42</v>
      </c>
      <c r="I34" s="609"/>
      <c r="J34" s="656">
        <v>41311</v>
      </c>
      <c r="K34" s="746">
        <v>52.56</v>
      </c>
      <c r="L34" s="721">
        <v>0.01</v>
      </c>
      <c r="M34" s="722">
        <v>6</v>
      </c>
      <c r="N34" s="723">
        <f t="shared" si="1"/>
        <v>-515.99999999999966</v>
      </c>
      <c r="O34" s="719" t="s">
        <v>885</v>
      </c>
      <c r="P34" s="665">
        <v>1</v>
      </c>
      <c r="Q34" s="724">
        <f t="shared" si="0"/>
        <v>-515.99999999999966</v>
      </c>
      <c r="R34" s="62"/>
    </row>
    <row r="35" spans="1:18" s="2" customFormat="1" ht="15" customHeight="1" x14ac:dyDescent="0.2">
      <c r="A35" s="601" t="s">
        <v>916</v>
      </c>
      <c r="B35" s="601" t="s">
        <v>914</v>
      </c>
      <c r="C35" s="601" t="s">
        <v>915</v>
      </c>
      <c r="D35" s="719">
        <v>41334</v>
      </c>
      <c r="E35" s="719" t="s">
        <v>53</v>
      </c>
      <c r="F35" s="617">
        <v>41304</v>
      </c>
      <c r="G35" s="601">
        <v>1</v>
      </c>
      <c r="H35" s="744">
        <v>429.9</v>
      </c>
      <c r="I35" s="609"/>
      <c r="J35" s="701">
        <v>41313</v>
      </c>
      <c r="K35" s="746">
        <v>426.9</v>
      </c>
      <c r="L35" s="721">
        <v>0.1</v>
      </c>
      <c r="M35" s="722">
        <v>10</v>
      </c>
      <c r="N35" s="723">
        <f t="shared" si="1"/>
        <v>-300</v>
      </c>
      <c r="O35" s="719" t="s">
        <v>885</v>
      </c>
      <c r="P35" s="665">
        <v>1</v>
      </c>
      <c r="Q35" s="724">
        <f t="shared" si="0"/>
        <v>-300</v>
      </c>
      <c r="R35" s="62"/>
    </row>
    <row r="36" spans="1:18" s="2" customFormat="1" ht="15" customHeight="1" x14ac:dyDescent="0.2">
      <c r="A36" s="601" t="s">
        <v>50</v>
      </c>
      <c r="B36" s="601" t="s">
        <v>49</v>
      </c>
      <c r="C36" s="601" t="s">
        <v>912</v>
      </c>
      <c r="D36" s="719">
        <v>41306</v>
      </c>
      <c r="E36" s="719" t="s">
        <v>53</v>
      </c>
      <c r="F36" s="617">
        <v>41304</v>
      </c>
      <c r="G36" s="601">
        <v>1</v>
      </c>
      <c r="H36" s="744">
        <v>992</v>
      </c>
      <c r="I36" s="609"/>
      <c r="J36" s="701">
        <v>41317</v>
      </c>
      <c r="K36" s="746">
        <v>1017.5</v>
      </c>
      <c r="L36" s="721">
        <v>0.25</v>
      </c>
      <c r="M36" s="722">
        <v>25</v>
      </c>
      <c r="N36" s="723">
        <f t="shared" si="1"/>
        <v>2550</v>
      </c>
      <c r="O36" s="719" t="s">
        <v>885</v>
      </c>
      <c r="P36" s="665">
        <v>1</v>
      </c>
      <c r="Q36" s="724">
        <f t="shared" si="0"/>
        <v>2550</v>
      </c>
      <c r="R36" s="62"/>
    </row>
    <row r="37" spans="1:18" s="2" customFormat="1" ht="15" customHeight="1" x14ac:dyDescent="0.2">
      <c r="A37" s="601" t="s">
        <v>1</v>
      </c>
      <c r="B37" s="601" t="s">
        <v>2</v>
      </c>
      <c r="C37" s="601" t="s">
        <v>913</v>
      </c>
      <c r="D37" s="719">
        <v>41334</v>
      </c>
      <c r="E37" s="719" t="s">
        <v>53</v>
      </c>
      <c r="F37" s="617">
        <v>41304</v>
      </c>
      <c r="G37" s="601">
        <v>1</v>
      </c>
      <c r="H37" s="744">
        <v>114</v>
      </c>
      <c r="I37" s="609"/>
      <c r="J37" s="701">
        <v>41317</v>
      </c>
      <c r="K37" s="746">
        <v>118.71</v>
      </c>
      <c r="L37" s="721">
        <v>0.01</v>
      </c>
      <c r="M37" s="722">
        <v>10</v>
      </c>
      <c r="N37" s="723">
        <f t="shared" si="1"/>
        <v>4709.9999999999936</v>
      </c>
      <c r="O37" s="719" t="s">
        <v>885</v>
      </c>
      <c r="P37" s="665">
        <v>1</v>
      </c>
      <c r="Q37" s="724">
        <f t="shared" si="0"/>
        <v>4709.9999999999936</v>
      </c>
      <c r="R37" s="62"/>
    </row>
    <row r="38" spans="1:18" s="2" customFormat="1" ht="15" customHeight="1" x14ac:dyDescent="0.2">
      <c r="A38" s="601" t="s">
        <v>919</v>
      </c>
      <c r="B38" s="601" t="s">
        <v>920</v>
      </c>
      <c r="C38" s="601" t="s">
        <v>921</v>
      </c>
      <c r="D38" s="719">
        <v>41334</v>
      </c>
      <c r="E38" s="719" t="s">
        <v>53</v>
      </c>
      <c r="F38" s="617">
        <v>41306</v>
      </c>
      <c r="G38" s="601">
        <v>1</v>
      </c>
      <c r="H38" s="744">
        <v>2020</v>
      </c>
      <c r="I38" s="609"/>
      <c r="J38" s="701">
        <v>41319</v>
      </c>
      <c r="K38" s="746">
        <v>2036</v>
      </c>
      <c r="L38" s="721">
        <v>1</v>
      </c>
      <c r="M38" s="722">
        <v>10</v>
      </c>
      <c r="N38" s="723">
        <f>SUM((K38-H38)/L38*M38)*G38</f>
        <v>160</v>
      </c>
      <c r="O38" s="719" t="s">
        <v>885</v>
      </c>
      <c r="P38" s="665">
        <v>1</v>
      </c>
      <c r="Q38" s="724">
        <f t="shared" ref="Q38:Q44" si="2">SUM(N38*P38)</f>
        <v>160</v>
      </c>
      <c r="R38" s="62"/>
    </row>
    <row r="39" spans="1:18" s="2" customFormat="1" ht="15" customHeight="1" x14ac:dyDescent="0.2">
      <c r="A39" s="601" t="s">
        <v>84</v>
      </c>
      <c r="B39" s="601" t="s">
        <v>83</v>
      </c>
      <c r="C39" s="601" t="s">
        <v>925</v>
      </c>
      <c r="D39" s="719">
        <v>41334</v>
      </c>
      <c r="E39" s="719" t="s">
        <v>53</v>
      </c>
      <c r="F39" s="617">
        <v>41306</v>
      </c>
      <c r="G39" s="601">
        <v>1</v>
      </c>
      <c r="H39" s="744">
        <v>313.3</v>
      </c>
      <c r="I39" s="609"/>
      <c r="J39" s="701">
        <v>41320</v>
      </c>
      <c r="K39" s="746">
        <v>318.3</v>
      </c>
      <c r="L39" s="721">
        <v>0.01</v>
      </c>
      <c r="M39" s="722">
        <v>4.2</v>
      </c>
      <c r="N39" s="723">
        <f>SUM((K39-H39)/L39*M39)*G39</f>
        <v>2100</v>
      </c>
      <c r="O39" s="719" t="s">
        <v>885</v>
      </c>
      <c r="P39" s="665">
        <v>1</v>
      </c>
      <c r="Q39" s="724">
        <f t="shared" si="2"/>
        <v>2100</v>
      </c>
      <c r="R39" s="62"/>
    </row>
    <row r="40" spans="1:18" s="17" customFormat="1" ht="15" customHeight="1" x14ac:dyDescent="0.2">
      <c r="A40" s="642" t="s">
        <v>990</v>
      </c>
      <c r="B40" s="642" t="s">
        <v>738</v>
      </c>
      <c r="C40" s="642" t="s">
        <v>991</v>
      </c>
      <c r="D40" s="747">
        <v>41334</v>
      </c>
      <c r="E40" s="747" t="s">
        <v>78</v>
      </c>
      <c r="F40" s="748">
        <v>41319</v>
      </c>
      <c r="G40" s="642">
        <v>1</v>
      </c>
      <c r="H40" s="749">
        <v>317.2</v>
      </c>
      <c r="I40" s="668"/>
      <c r="J40" s="701">
        <v>41324</v>
      </c>
      <c r="K40" s="781">
        <v>329.3</v>
      </c>
      <c r="L40" s="751">
        <v>0.1</v>
      </c>
      <c r="M40" s="752">
        <v>10</v>
      </c>
      <c r="N40" s="753">
        <f>SUM((H40-K40)/L40*M40)*G40</f>
        <v>-1210.0000000000023</v>
      </c>
      <c r="O40" s="747" t="s">
        <v>885</v>
      </c>
      <c r="P40" s="665">
        <v>1</v>
      </c>
      <c r="Q40" s="754">
        <f t="shared" si="2"/>
        <v>-1210.0000000000023</v>
      </c>
      <c r="R40" s="283"/>
    </row>
    <row r="41" spans="1:18" s="2" customFormat="1" ht="15" customHeight="1" x14ac:dyDescent="0.2">
      <c r="A41" s="601" t="s">
        <v>50</v>
      </c>
      <c r="B41" s="601" t="s">
        <v>49</v>
      </c>
      <c r="C41" s="601" t="s">
        <v>976</v>
      </c>
      <c r="D41" s="719">
        <v>41365</v>
      </c>
      <c r="E41" s="719" t="s">
        <v>53</v>
      </c>
      <c r="F41" s="617">
        <v>41376</v>
      </c>
      <c r="G41" s="601">
        <v>1</v>
      </c>
      <c r="H41" s="744">
        <v>999.5</v>
      </c>
      <c r="I41" s="609"/>
      <c r="J41" s="701">
        <v>41325</v>
      </c>
      <c r="K41" s="746">
        <v>995.7</v>
      </c>
      <c r="L41" s="721">
        <v>0.25</v>
      </c>
      <c r="M41" s="722">
        <v>25</v>
      </c>
      <c r="N41" s="723">
        <f t="shared" ref="N41:N47" si="3">SUM((K41-H41)/L41*M41)*G41</f>
        <v>-379.99999999999545</v>
      </c>
      <c r="O41" s="719" t="s">
        <v>885</v>
      </c>
      <c r="P41" s="665">
        <v>1</v>
      </c>
      <c r="Q41" s="724">
        <f t="shared" si="2"/>
        <v>-379.99999999999545</v>
      </c>
      <c r="R41" s="62"/>
    </row>
    <row r="42" spans="1:18" s="2" customFormat="1" ht="15" customHeight="1" x14ac:dyDescent="0.2">
      <c r="A42" s="601" t="s">
        <v>1</v>
      </c>
      <c r="B42" s="601" t="s">
        <v>2</v>
      </c>
      <c r="C42" s="601" t="s">
        <v>977</v>
      </c>
      <c r="D42" s="719">
        <v>41365</v>
      </c>
      <c r="E42" s="719" t="s">
        <v>53</v>
      </c>
      <c r="F42" s="617">
        <v>41317</v>
      </c>
      <c r="G42" s="601">
        <v>1</v>
      </c>
      <c r="H42" s="744">
        <v>116.76</v>
      </c>
      <c r="I42" s="609"/>
      <c r="J42" s="701">
        <v>41325</v>
      </c>
      <c r="K42" s="746">
        <v>115.3</v>
      </c>
      <c r="L42" s="721">
        <v>0.01</v>
      </c>
      <c r="M42" s="722">
        <v>10</v>
      </c>
      <c r="N42" s="723">
        <f t="shared" si="3"/>
        <v>-1460.000000000008</v>
      </c>
      <c r="O42" s="719" t="s">
        <v>885</v>
      </c>
      <c r="P42" s="665">
        <v>1</v>
      </c>
      <c r="Q42" s="724">
        <f t="shared" si="2"/>
        <v>-1460.000000000008</v>
      </c>
      <c r="R42" s="62"/>
    </row>
    <row r="43" spans="1:18" s="2" customFormat="1" ht="15" customHeight="1" x14ac:dyDescent="0.2">
      <c r="A43" s="601" t="s">
        <v>984</v>
      </c>
      <c r="B43" s="601" t="s">
        <v>985</v>
      </c>
      <c r="C43" s="601" t="s">
        <v>988</v>
      </c>
      <c r="D43" s="719">
        <v>41334</v>
      </c>
      <c r="E43" s="719" t="s">
        <v>53</v>
      </c>
      <c r="F43" s="617">
        <v>41317</v>
      </c>
      <c r="G43" s="601">
        <v>1</v>
      </c>
      <c r="H43" s="744">
        <v>125.8</v>
      </c>
      <c r="I43" s="609"/>
      <c r="J43" s="701">
        <v>41325</v>
      </c>
      <c r="K43" s="746">
        <v>123.4</v>
      </c>
      <c r="L43" s="721">
        <v>0.05</v>
      </c>
      <c r="M43" s="722">
        <v>7.5</v>
      </c>
      <c r="N43" s="723">
        <f t="shared" si="3"/>
        <v>-359.99999999999875</v>
      </c>
      <c r="O43" s="719" t="s">
        <v>885</v>
      </c>
      <c r="P43" s="665">
        <v>1</v>
      </c>
      <c r="Q43" s="724">
        <f t="shared" si="2"/>
        <v>-359.99999999999875</v>
      </c>
      <c r="R43" s="62"/>
    </row>
    <row r="44" spans="1:18" s="8" customFormat="1" ht="15" customHeight="1" x14ac:dyDescent="0.2">
      <c r="A44" s="601" t="s">
        <v>898</v>
      </c>
      <c r="B44" s="601" t="s">
        <v>899</v>
      </c>
      <c r="C44" s="601" t="s">
        <v>989</v>
      </c>
      <c r="D44" s="719">
        <v>41334</v>
      </c>
      <c r="E44" s="719" t="s">
        <v>53</v>
      </c>
      <c r="F44" s="617">
        <v>41302</v>
      </c>
      <c r="G44" s="601">
        <v>1</v>
      </c>
      <c r="H44" s="744">
        <v>289.60000000000002</v>
      </c>
      <c r="I44" s="609"/>
      <c r="J44" s="701">
        <v>41325</v>
      </c>
      <c r="K44" s="746">
        <v>305.10000000000002</v>
      </c>
      <c r="L44" s="721">
        <v>0.01</v>
      </c>
      <c r="M44" s="722">
        <v>4.2</v>
      </c>
      <c r="N44" s="723">
        <f t="shared" si="3"/>
        <v>6510</v>
      </c>
      <c r="O44" s="719" t="s">
        <v>885</v>
      </c>
      <c r="P44" s="665">
        <v>1</v>
      </c>
      <c r="Q44" s="724">
        <f t="shared" si="2"/>
        <v>6510</v>
      </c>
      <c r="R44" s="19"/>
    </row>
    <row r="45" spans="1:18" s="2" customFormat="1" ht="15" customHeight="1" x14ac:dyDescent="0.2">
      <c r="A45" s="601" t="s">
        <v>1025</v>
      </c>
      <c r="B45" s="601" t="s">
        <v>1026</v>
      </c>
      <c r="C45" s="601" t="s">
        <v>1032</v>
      </c>
      <c r="D45" s="719">
        <v>41395</v>
      </c>
      <c r="E45" s="719" t="s">
        <v>53</v>
      </c>
      <c r="F45" s="617">
        <v>41324</v>
      </c>
      <c r="G45" s="601">
        <v>1</v>
      </c>
      <c r="H45" s="744">
        <v>2168</v>
      </c>
      <c r="I45" s="609"/>
      <c r="J45" s="701">
        <v>41325</v>
      </c>
      <c r="K45" s="746">
        <v>2113</v>
      </c>
      <c r="L45" s="721">
        <v>1</v>
      </c>
      <c r="M45" s="722">
        <v>10</v>
      </c>
      <c r="N45" s="723">
        <f t="shared" si="3"/>
        <v>-550</v>
      </c>
      <c r="O45" s="719" t="s">
        <v>885</v>
      </c>
      <c r="P45" s="665">
        <v>1</v>
      </c>
      <c r="Q45" s="724">
        <f t="shared" ref="Q45:Q51" si="4">SUM(N45*P45)</f>
        <v>-550</v>
      </c>
      <c r="R45" s="62"/>
    </row>
    <row r="46" spans="1:18" s="2" customFormat="1" ht="15" customHeight="1" x14ac:dyDescent="0.2">
      <c r="A46" s="601" t="s">
        <v>1028</v>
      </c>
      <c r="B46" s="601" t="s">
        <v>1027</v>
      </c>
      <c r="C46" s="601" t="s">
        <v>1033</v>
      </c>
      <c r="D46" s="719">
        <v>41334</v>
      </c>
      <c r="E46" s="719" t="s">
        <v>53</v>
      </c>
      <c r="F46" s="617">
        <v>41324</v>
      </c>
      <c r="G46" s="601">
        <v>1</v>
      </c>
      <c r="H46" s="744">
        <v>2785</v>
      </c>
      <c r="I46" s="609"/>
      <c r="J46" s="701">
        <v>41325</v>
      </c>
      <c r="K46" s="746">
        <v>2753</v>
      </c>
      <c r="L46" s="721">
        <v>0.25</v>
      </c>
      <c r="M46" s="722">
        <v>5</v>
      </c>
      <c r="N46" s="723">
        <f t="shared" si="3"/>
        <v>-640</v>
      </c>
      <c r="O46" s="719" t="s">
        <v>885</v>
      </c>
      <c r="P46" s="665">
        <v>1</v>
      </c>
      <c r="Q46" s="724">
        <f t="shared" si="4"/>
        <v>-640</v>
      </c>
      <c r="R46" s="62"/>
    </row>
    <row r="47" spans="1:18" s="2" customFormat="1" ht="15" customHeight="1" x14ac:dyDescent="0.2">
      <c r="A47" s="601" t="s">
        <v>1029</v>
      </c>
      <c r="B47" s="601" t="s">
        <v>1030</v>
      </c>
      <c r="C47" s="601" t="s">
        <v>1031</v>
      </c>
      <c r="D47" s="719">
        <v>41334</v>
      </c>
      <c r="E47" s="719" t="s">
        <v>53</v>
      </c>
      <c r="F47" s="617">
        <v>41324</v>
      </c>
      <c r="G47" s="601">
        <v>1</v>
      </c>
      <c r="H47" s="744">
        <v>14022</v>
      </c>
      <c r="I47" s="609"/>
      <c r="J47" s="701">
        <v>41325</v>
      </c>
      <c r="K47" s="746">
        <v>13902</v>
      </c>
      <c r="L47" s="721">
        <v>1</v>
      </c>
      <c r="M47" s="722">
        <v>5</v>
      </c>
      <c r="N47" s="723">
        <f t="shared" si="3"/>
        <v>-600</v>
      </c>
      <c r="O47" s="719" t="s">
        <v>885</v>
      </c>
      <c r="P47" s="665">
        <v>1</v>
      </c>
      <c r="Q47" s="724">
        <f t="shared" si="4"/>
        <v>-600</v>
      </c>
      <c r="R47" s="62"/>
    </row>
    <row r="48" spans="1:18" s="17" customFormat="1" ht="15" customHeight="1" x14ac:dyDescent="0.2">
      <c r="A48" s="642" t="s">
        <v>895</v>
      </c>
      <c r="B48" s="642" t="s">
        <v>361</v>
      </c>
      <c r="C48" s="642" t="s">
        <v>962</v>
      </c>
      <c r="D48" s="747">
        <v>41334</v>
      </c>
      <c r="E48" s="747" t="s">
        <v>78</v>
      </c>
      <c r="F48" s="748">
        <v>41312</v>
      </c>
      <c r="G48" s="642">
        <v>1</v>
      </c>
      <c r="H48" s="749">
        <v>140</v>
      </c>
      <c r="I48" s="668"/>
      <c r="J48" s="701">
        <v>41327</v>
      </c>
      <c r="K48" s="750">
        <v>142.9</v>
      </c>
      <c r="L48" s="751">
        <v>0.05</v>
      </c>
      <c r="M48" s="752">
        <v>18.75</v>
      </c>
      <c r="N48" s="753">
        <f>SUM((H48-K48)/L48*M48)*G48</f>
        <v>-1087.500000000002</v>
      </c>
      <c r="O48" s="747" t="s">
        <v>885</v>
      </c>
      <c r="P48" s="665">
        <v>1</v>
      </c>
      <c r="Q48" s="754">
        <f t="shared" si="4"/>
        <v>-1087.500000000002</v>
      </c>
      <c r="R48" s="283"/>
    </row>
    <row r="49" spans="1:19" s="2" customFormat="1" ht="15" customHeight="1" x14ac:dyDescent="0.2">
      <c r="A49" s="601" t="s">
        <v>69</v>
      </c>
      <c r="B49" s="601" t="s">
        <v>68</v>
      </c>
      <c r="C49" s="601" t="s">
        <v>1066</v>
      </c>
      <c r="D49" s="719">
        <v>41334</v>
      </c>
      <c r="E49" s="719" t="s">
        <v>53</v>
      </c>
      <c r="F49" s="617">
        <v>41330</v>
      </c>
      <c r="G49" s="601">
        <v>1</v>
      </c>
      <c r="H49" s="744">
        <v>394.3</v>
      </c>
      <c r="I49" s="609"/>
      <c r="J49" s="701">
        <v>41330</v>
      </c>
      <c r="K49" s="746">
        <v>385.3</v>
      </c>
      <c r="L49" s="721">
        <v>0.25</v>
      </c>
      <c r="M49" s="722">
        <v>12.5</v>
      </c>
      <c r="N49" s="723">
        <f>SUM((K49-H49)/L49*M49)*G49</f>
        <v>-450</v>
      </c>
      <c r="O49" s="719" t="s">
        <v>885</v>
      </c>
      <c r="P49" s="665">
        <v>1</v>
      </c>
      <c r="Q49" s="724">
        <f t="shared" si="4"/>
        <v>-450</v>
      </c>
      <c r="R49" s="62"/>
    </row>
    <row r="50" spans="1:19" s="17" customFormat="1" ht="15" customHeight="1" x14ac:dyDescent="0.2">
      <c r="A50" s="642" t="s">
        <v>992</v>
      </c>
      <c r="B50" s="642" t="s">
        <v>993</v>
      </c>
      <c r="C50" s="642" t="s">
        <v>994</v>
      </c>
      <c r="D50" s="747">
        <v>41334</v>
      </c>
      <c r="E50" s="747" t="s">
        <v>78</v>
      </c>
      <c r="F50" s="748">
        <v>41319</v>
      </c>
      <c r="G50" s="642">
        <v>1</v>
      </c>
      <c r="H50" s="749">
        <v>17.87</v>
      </c>
      <c r="I50" s="668"/>
      <c r="J50" s="701">
        <v>41330</v>
      </c>
      <c r="K50" s="750">
        <v>18.25</v>
      </c>
      <c r="L50" s="751">
        <v>0.01</v>
      </c>
      <c r="M50" s="752">
        <v>11.2</v>
      </c>
      <c r="N50" s="753">
        <f>SUM((H50-K50)/L50*M50)*G50</f>
        <v>-425.59999999999889</v>
      </c>
      <c r="O50" s="747" t="s">
        <v>885</v>
      </c>
      <c r="P50" s="665">
        <v>1</v>
      </c>
      <c r="Q50" s="754">
        <f t="shared" si="4"/>
        <v>-425.59999999999889</v>
      </c>
      <c r="R50" s="283"/>
    </row>
    <row r="51" spans="1:19" s="18" customFormat="1" ht="15" customHeight="1" x14ac:dyDescent="0.2">
      <c r="A51" s="642" t="s">
        <v>900</v>
      </c>
      <c r="B51" s="642" t="s">
        <v>901</v>
      </c>
      <c r="C51" s="642" t="s">
        <v>1032</v>
      </c>
      <c r="D51" s="747">
        <v>41395</v>
      </c>
      <c r="E51" s="747" t="s">
        <v>78</v>
      </c>
      <c r="F51" s="748">
        <v>41324</v>
      </c>
      <c r="G51" s="642">
        <v>1</v>
      </c>
      <c r="H51" s="749">
        <v>2168</v>
      </c>
      <c r="I51" s="668"/>
      <c r="J51" s="662">
        <v>41341</v>
      </c>
      <c r="K51" s="750">
        <v>2095</v>
      </c>
      <c r="L51" s="751">
        <v>1</v>
      </c>
      <c r="M51" s="752">
        <v>10</v>
      </c>
      <c r="N51" s="753">
        <f>SUM((H51-K51)/L51*M51)*G51</f>
        <v>730</v>
      </c>
      <c r="O51" s="747" t="s">
        <v>885</v>
      </c>
      <c r="P51" s="665">
        <v>1</v>
      </c>
      <c r="Q51" s="724">
        <f t="shared" si="4"/>
        <v>730</v>
      </c>
      <c r="R51" s="176"/>
    </row>
    <row r="52" spans="1:19" s="17" customFormat="1" ht="15" customHeight="1" x14ac:dyDescent="0.2">
      <c r="A52" s="642" t="s">
        <v>1068</v>
      </c>
      <c r="B52" s="642" t="s">
        <v>70</v>
      </c>
      <c r="C52" s="642" t="s">
        <v>1067</v>
      </c>
      <c r="D52" s="747">
        <v>41365</v>
      </c>
      <c r="E52" s="747" t="s">
        <v>78</v>
      </c>
      <c r="F52" s="748">
        <v>41334</v>
      </c>
      <c r="G52" s="642">
        <v>1</v>
      </c>
      <c r="H52" s="749">
        <v>350.7</v>
      </c>
      <c r="I52" s="668"/>
      <c r="J52" s="701">
        <v>41345</v>
      </c>
      <c r="K52" s="750">
        <v>354.7</v>
      </c>
      <c r="L52" s="751">
        <v>0.05</v>
      </c>
      <c r="M52" s="752">
        <v>12.5</v>
      </c>
      <c r="N52" s="753">
        <f>SUM((H52-K52)/L52*M52)*G52</f>
        <v>-1000</v>
      </c>
      <c r="O52" s="747" t="s">
        <v>885</v>
      </c>
      <c r="P52" s="665">
        <v>1</v>
      </c>
      <c r="Q52" s="754">
        <f>SUM(N52*P52)</f>
        <v>-1000</v>
      </c>
      <c r="R52" s="283"/>
    </row>
    <row r="53" spans="1:19" s="17" customFormat="1" ht="15" customHeight="1" x14ac:dyDescent="0.2">
      <c r="A53" s="642" t="s">
        <v>46</v>
      </c>
      <c r="B53" s="642" t="s">
        <v>986</v>
      </c>
      <c r="C53" s="642" t="s">
        <v>987</v>
      </c>
      <c r="D53" s="747">
        <v>41334</v>
      </c>
      <c r="E53" s="747" t="s">
        <v>78</v>
      </c>
      <c r="F53" s="748">
        <v>41317</v>
      </c>
      <c r="G53" s="642">
        <v>1</v>
      </c>
      <c r="H53" s="749">
        <v>731.35</v>
      </c>
      <c r="I53" s="668"/>
      <c r="J53" s="701">
        <v>41347</v>
      </c>
      <c r="K53" s="750">
        <v>709.75</v>
      </c>
      <c r="L53" s="751">
        <v>0.25</v>
      </c>
      <c r="M53" s="752">
        <v>12.5</v>
      </c>
      <c r="N53" s="753">
        <f>SUM((H53-K53)/L53*M53)*G53</f>
        <v>1080.0000000000011</v>
      </c>
      <c r="O53" s="719" t="s">
        <v>885</v>
      </c>
      <c r="P53" s="665">
        <v>1</v>
      </c>
      <c r="Q53" s="724">
        <f>SUM(N53*P53)</f>
        <v>1080.0000000000011</v>
      </c>
      <c r="R53" s="283"/>
    </row>
    <row r="54" spans="1:19" s="2" customFormat="1" ht="15" customHeight="1" x14ac:dyDescent="0.2">
      <c r="A54" s="601" t="s">
        <v>46</v>
      </c>
      <c r="B54" s="601" t="s">
        <v>986</v>
      </c>
      <c r="C54" s="601" t="s">
        <v>1123</v>
      </c>
      <c r="D54" s="719">
        <v>41395</v>
      </c>
      <c r="E54" s="719" t="s">
        <v>53</v>
      </c>
      <c r="F54" s="617">
        <v>41353</v>
      </c>
      <c r="G54" s="601">
        <v>1</v>
      </c>
      <c r="H54" s="744">
        <v>736</v>
      </c>
      <c r="I54" s="609"/>
      <c r="J54" s="701">
        <v>41355</v>
      </c>
      <c r="K54" s="746">
        <v>718.8</v>
      </c>
      <c r="L54" s="721">
        <v>0.25</v>
      </c>
      <c r="M54" s="722">
        <v>12.5</v>
      </c>
      <c r="N54" s="723">
        <f>SUM((K54-H54)/L54*M54)*G54</f>
        <v>-860.00000000000227</v>
      </c>
      <c r="O54" s="719" t="s">
        <v>885</v>
      </c>
      <c r="P54" s="665">
        <v>1</v>
      </c>
      <c r="Q54" s="724">
        <f t="shared" ref="Q54" si="5">SUM(N54*P54)</f>
        <v>-860.00000000000227</v>
      </c>
      <c r="R54" s="62"/>
    </row>
    <row r="55" spans="1:19" s="2" customFormat="1" ht="15" customHeight="1" x14ac:dyDescent="0.2">
      <c r="A55" s="601" t="s">
        <v>1</v>
      </c>
      <c r="B55" s="601" t="s">
        <v>2</v>
      </c>
      <c r="C55" s="601" t="s">
        <v>977</v>
      </c>
      <c r="D55" s="719">
        <v>41365</v>
      </c>
      <c r="E55" s="719" t="s">
        <v>53</v>
      </c>
      <c r="F55" s="617">
        <v>41358</v>
      </c>
      <c r="G55" s="601">
        <v>1</v>
      </c>
      <c r="H55" s="744">
        <v>108.55</v>
      </c>
      <c r="I55" s="609"/>
      <c r="J55" s="701">
        <v>41358</v>
      </c>
      <c r="K55" s="746">
        <v>106.85</v>
      </c>
      <c r="L55" s="721">
        <v>0.01</v>
      </c>
      <c r="M55" s="722">
        <v>10</v>
      </c>
      <c r="N55" s="723">
        <f t="shared" ref="N55" si="6">SUM((K55-H55)/L55*M55)*G55</f>
        <v>-1700.0000000000027</v>
      </c>
      <c r="O55" s="719" t="s">
        <v>885</v>
      </c>
      <c r="P55" s="665">
        <v>1</v>
      </c>
      <c r="Q55" s="724">
        <f>SUM(N55*P55)</f>
        <v>-1700.0000000000027</v>
      </c>
      <c r="R55" s="62"/>
    </row>
    <row r="56" spans="1:19" s="17" customFormat="1" ht="15" customHeight="1" x14ac:dyDescent="0.2">
      <c r="A56" s="642" t="s">
        <v>50</v>
      </c>
      <c r="B56" s="642" t="s">
        <v>49</v>
      </c>
      <c r="C56" s="642" t="s">
        <v>1103</v>
      </c>
      <c r="D56" s="747">
        <v>41365</v>
      </c>
      <c r="E56" s="747" t="s">
        <v>78</v>
      </c>
      <c r="F56" s="748">
        <v>41347</v>
      </c>
      <c r="G56" s="642">
        <v>1</v>
      </c>
      <c r="H56" s="749">
        <v>910.5</v>
      </c>
      <c r="I56" s="668"/>
      <c r="J56" s="701">
        <v>41360</v>
      </c>
      <c r="K56" s="750">
        <v>906.5</v>
      </c>
      <c r="L56" s="751">
        <v>0.25</v>
      </c>
      <c r="M56" s="752">
        <v>25</v>
      </c>
      <c r="N56" s="753">
        <f>SUM((H56-K56)/L56*M56)*G56</f>
        <v>400</v>
      </c>
      <c r="O56" s="718" t="s">
        <v>1286</v>
      </c>
      <c r="P56" s="665">
        <v>1</v>
      </c>
      <c r="Q56" s="724">
        <f>SUM(N56/P56)</f>
        <v>400</v>
      </c>
      <c r="R56" s="283"/>
    </row>
    <row r="57" spans="1:19" s="2" customFormat="1" ht="15" customHeight="1" x14ac:dyDescent="0.2">
      <c r="A57" s="601" t="s">
        <v>990</v>
      </c>
      <c r="B57" s="601" t="s">
        <v>738</v>
      </c>
      <c r="C57" s="601" t="s">
        <v>1128</v>
      </c>
      <c r="D57" s="719">
        <v>41395</v>
      </c>
      <c r="E57" s="719" t="s">
        <v>53</v>
      </c>
      <c r="F57" s="617">
        <v>41360</v>
      </c>
      <c r="G57" s="601">
        <v>1</v>
      </c>
      <c r="H57" s="744">
        <v>4.0599999999999996</v>
      </c>
      <c r="I57" s="609"/>
      <c r="J57" s="701">
        <v>41365</v>
      </c>
      <c r="K57" s="746">
        <v>3.956</v>
      </c>
      <c r="L57" s="721">
        <v>1E-3</v>
      </c>
      <c r="M57" s="722">
        <v>10</v>
      </c>
      <c r="N57" s="723">
        <f>SUM((K57-H57)/L57*M57)*G57</f>
        <v>-1039.9999999999964</v>
      </c>
      <c r="O57" s="718" t="s">
        <v>1286</v>
      </c>
      <c r="P57" s="665">
        <v>1</v>
      </c>
      <c r="Q57" s="754">
        <f t="shared" ref="Q57:Q79" si="7">SUM(N57/P57)</f>
        <v>-1039.9999999999964</v>
      </c>
      <c r="R57" s="62"/>
    </row>
    <row r="58" spans="1:19" s="2" customFormat="1" ht="15" customHeight="1" x14ac:dyDescent="0.2">
      <c r="A58" s="601" t="s">
        <v>48</v>
      </c>
      <c r="B58" s="601" t="s">
        <v>47</v>
      </c>
      <c r="C58" s="601" t="s">
        <v>1127</v>
      </c>
      <c r="D58" s="719">
        <v>41365</v>
      </c>
      <c r="E58" s="719" t="s">
        <v>53</v>
      </c>
      <c r="F58" s="617">
        <v>41361</v>
      </c>
      <c r="G58" s="601">
        <v>1</v>
      </c>
      <c r="H58" s="744">
        <v>143.17500000000001</v>
      </c>
      <c r="I58" s="609"/>
      <c r="J58" s="701">
        <v>41374</v>
      </c>
      <c r="K58" s="746">
        <v>143.69999999999999</v>
      </c>
      <c r="L58" s="721">
        <v>2.5000000000000001E-2</v>
      </c>
      <c r="M58" s="722">
        <v>12.5</v>
      </c>
      <c r="N58" s="723">
        <f>SUM((K58-H58)/L58*M58)*G58</f>
        <v>262.49999999998863</v>
      </c>
      <c r="O58" s="718" t="s">
        <v>1286</v>
      </c>
      <c r="P58" s="665">
        <v>1</v>
      </c>
      <c r="Q58" s="724">
        <f t="shared" si="7"/>
        <v>262.49999999998863</v>
      </c>
      <c r="R58" s="62"/>
    </row>
    <row r="59" spans="1:19" s="17" customFormat="1" ht="15" customHeight="1" x14ac:dyDescent="0.2">
      <c r="A59" s="642" t="s">
        <v>386</v>
      </c>
      <c r="B59" s="642" t="s">
        <v>1071</v>
      </c>
      <c r="C59" s="642" t="s">
        <v>1171</v>
      </c>
      <c r="D59" s="747">
        <v>41456</v>
      </c>
      <c r="E59" s="747" t="s">
        <v>78</v>
      </c>
      <c r="F59" s="748">
        <v>41388</v>
      </c>
      <c r="G59" s="642">
        <v>1</v>
      </c>
      <c r="H59" s="749">
        <v>84.18</v>
      </c>
      <c r="I59" s="668"/>
      <c r="J59" s="701">
        <v>41393</v>
      </c>
      <c r="K59" s="750">
        <v>84.93</v>
      </c>
      <c r="L59" s="751">
        <v>0.01</v>
      </c>
      <c r="M59" s="752">
        <v>5</v>
      </c>
      <c r="N59" s="753">
        <f>SUM((H59-K59)/L59*M59)*G59</f>
        <v>-375</v>
      </c>
      <c r="O59" s="718" t="s">
        <v>1286</v>
      </c>
      <c r="P59" s="665">
        <v>1</v>
      </c>
      <c r="Q59" s="754">
        <f t="shared" si="7"/>
        <v>-375</v>
      </c>
      <c r="R59" s="283"/>
    </row>
    <row r="60" spans="1:19" s="17" customFormat="1" ht="15" customHeight="1" x14ac:dyDescent="0.2">
      <c r="A60" s="642" t="s">
        <v>990</v>
      </c>
      <c r="B60" s="642" t="s">
        <v>738</v>
      </c>
      <c r="C60" s="642" t="s">
        <v>1186</v>
      </c>
      <c r="D60" s="747">
        <v>41395</v>
      </c>
      <c r="E60" s="747" t="s">
        <v>78</v>
      </c>
      <c r="F60" s="748">
        <v>41390</v>
      </c>
      <c r="G60" s="642">
        <v>1</v>
      </c>
      <c r="H60" s="749">
        <v>4.1429999999999998</v>
      </c>
      <c r="I60" s="668"/>
      <c r="J60" s="701">
        <v>41393</v>
      </c>
      <c r="K60" s="750">
        <v>4.2679999999999998</v>
      </c>
      <c r="L60" s="751">
        <v>1E-3</v>
      </c>
      <c r="M60" s="752">
        <v>10</v>
      </c>
      <c r="N60" s="753">
        <f>SUM((H60-K60)/L60*M60)*G60</f>
        <v>-1250</v>
      </c>
      <c r="O60" s="718" t="s">
        <v>1286</v>
      </c>
      <c r="P60" s="665">
        <v>1</v>
      </c>
      <c r="Q60" s="754">
        <f t="shared" si="7"/>
        <v>-1250</v>
      </c>
      <c r="R60" s="283"/>
    </row>
    <row r="61" spans="1:19" s="2" customFormat="1" ht="15" customHeight="1" x14ac:dyDescent="0.2">
      <c r="A61" s="601" t="s">
        <v>1</v>
      </c>
      <c r="B61" s="601" t="s">
        <v>2</v>
      </c>
      <c r="C61" s="601" t="s">
        <v>1169</v>
      </c>
      <c r="D61" s="719">
        <v>41426</v>
      </c>
      <c r="E61" s="719" t="s">
        <v>53</v>
      </c>
      <c r="F61" s="617">
        <v>41389</v>
      </c>
      <c r="G61" s="601">
        <v>1</v>
      </c>
      <c r="H61" s="744">
        <v>102.1</v>
      </c>
      <c r="I61" s="609"/>
      <c r="J61" s="701">
        <v>41394</v>
      </c>
      <c r="K61" s="746">
        <v>102.25</v>
      </c>
      <c r="L61" s="721">
        <v>0.01</v>
      </c>
      <c r="M61" s="722">
        <v>10</v>
      </c>
      <c r="N61" s="723">
        <f t="shared" ref="N61" si="8">SUM((K61-H61)/L61*M61)*G61</f>
        <v>150.00000000000568</v>
      </c>
      <c r="O61" s="718" t="s">
        <v>1286</v>
      </c>
      <c r="P61" s="665">
        <v>1</v>
      </c>
      <c r="Q61" s="724">
        <f t="shared" si="7"/>
        <v>150.00000000000568</v>
      </c>
      <c r="R61" s="62"/>
    </row>
    <row r="62" spans="1:19" s="2" customFormat="1" ht="15" customHeight="1" x14ac:dyDescent="0.2">
      <c r="A62" s="601" t="s">
        <v>1168</v>
      </c>
      <c r="B62" s="601" t="s">
        <v>79</v>
      </c>
      <c r="C62" s="601" t="s">
        <v>1170</v>
      </c>
      <c r="D62" s="719">
        <v>41426</v>
      </c>
      <c r="E62" s="719" t="s">
        <v>53</v>
      </c>
      <c r="F62" s="617">
        <v>41388</v>
      </c>
      <c r="G62" s="601">
        <v>1</v>
      </c>
      <c r="H62" s="744">
        <v>90.62</v>
      </c>
      <c r="I62" s="609"/>
      <c r="J62" s="701">
        <v>41395</v>
      </c>
      <c r="K62" s="746">
        <v>91.11</v>
      </c>
      <c r="L62" s="721">
        <v>0.01</v>
      </c>
      <c r="M62" s="722">
        <v>10</v>
      </c>
      <c r="N62" s="723">
        <f>SUM((K62-H62)/L62*M62)*G62</f>
        <v>489.99999999999488</v>
      </c>
      <c r="O62" s="718" t="s">
        <v>1286</v>
      </c>
      <c r="P62" s="665">
        <v>1</v>
      </c>
      <c r="Q62" s="724">
        <f t="shared" si="7"/>
        <v>489.99999999999488</v>
      </c>
      <c r="R62" s="62"/>
    </row>
    <row r="63" spans="1:19" s="2" customFormat="1" ht="15" customHeight="1" x14ac:dyDescent="0.2">
      <c r="A63" s="601" t="s">
        <v>1025</v>
      </c>
      <c r="B63" s="601" t="s">
        <v>1026</v>
      </c>
      <c r="C63" s="601" t="s">
        <v>1187</v>
      </c>
      <c r="D63" s="719">
        <v>41456</v>
      </c>
      <c r="E63" s="719" t="s">
        <v>53</v>
      </c>
      <c r="F63" s="617">
        <v>41394</v>
      </c>
      <c r="G63" s="601">
        <v>1</v>
      </c>
      <c r="H63" s="744">
        <v>2388.3000000000002</v>
      </c>
      <c r="I63" s="609"/>
      <c r="J63" s="701">
        <v>41403</v>
      </c>
      <c r="K63" s="746">
        <v>2360</v>
      </c>
      <c r="L63" s="721">
        <v>1</v>
      </c>
      <c r="M63" s="722">
        <v>10</v>
      </c>
      <c r="N63" s="723">
        <f>SUM((K63-H63)/L63*M63)*G63</f>
        <v>-283.00000000000182</v>
      </c>
      <c r="O63" s="718" t="s">
        <v>1286</v>
      </c>
      <c r="P63" s="665">
        <v>1</v>
      </c>
      <c r="Q63" s="754">
        <f t="shared" si="7"/>
        <v>-283.00000000000182</v>
      </c>
      <c r="R63" s="62"/>
    </row>
    <row r="64" spans="1:19" ht="12.75" x14ac:dyDescent="0.2">
      <c r="A64" s="601" t="s">
        <v>50</v>
      </c>
      <c r="B64" s="601" t="s">
        <v>49</v>
      </c>
      <c r="C64" s="601" t="s">
        <v>1261</v>
      </c>
      <c r="D64" s="719">
        <v>41426</v>
      </c>
      <c r="E64" s="719" t="s">
        <v>53</v>
      </c>
      <c r="F64" s="620">
        <v>41414</v>
      </c>
      <c r="G64" s="602">
        <v>1</v>
      </c>
      <c r="H64" s="782">
        <v>883.3</v>
      </c>
      <c r="I64" s="609"/>
      <c r="J64" s="701">
        <v>41417</v>
      </c>
      <c r="K64" s="603">
        <v>865.3</v>
      </c>
      <c r="L64" s="721">
        <v>0.25</v>
      </c>
      <c r="M64" s="606">
        <v>25</v>
      </c>
      <c r="N64" s="723">
        <f>SUM((K64-H64)/L64*M64)*G64</f>
        <v>-1800</v>
      </c>
      <c r="O64" s="718" t="s">
        <v>1286</v>
      </c>
      <c r="P64" s="665">
        <v>1</v>
      </c>
      <c r="Q64" s="754">
        <f t="shared" si="7"/>
        <v>-1800</v>
      </c>
      <c r="R64" s="344"/>
      <c r="S64" s="120"/>
    </row>
    <row r="65" spans="1:19" s="337" customFormat="1" ht="15" customHeight="1" x14ac:dyDescent="0.2">
      <c r="A65" s="601" t="s">
        <v>50</v>
      </c>
      <c r="B65" s="601" t="s">
        <v>49</v>
      </c>
      <c r="C65" s="601" t="s">
        <v>1262</v>
      </c>
      <c r="D65" s="719">
        <v>41456</v>
      </c>
      <c r="E65" s="719" t="s">
        <v>53</v>
      </c>
      <c r="F65" s="620">
        <v>41444</v>
      </c>
      <c r="G65" s="602">
        <v>1</v>
      </c>
      <c r="H65" s="782">
        <v>891.5</v>
      </c>
      <c r="I65" s="609"/>
      <c r="J65" s="701">
        <v>41445</v>
      </c>
      <c r="K65" s="603">
        <v>885</v>
      </c>
      <c r="L65" s="721">
        <v>1</v>
      </c>
      <c r="M65" s="606">
        <v>0.25</v>
      </c>
      <c r="N65" s="723">
        <v>25</v>
      </c>
      <c r="O65" s="718" t="s">
        <v>1286</v>
      </c>
      <c r="P65" s="665">
        <v>1</v>
      </c>
      <c r="Q65" s="724">
        <f t="shared" si="7"/>
        <v>25</v>
      </c>
      <c r="R65" s="344"/>
      <c r="S65" s="120"/>
    </row>
    <row r="66" spans="1:19" s="337" customFormat="1" ht="15" customHeight="1" x14ac:dyDescent="0.2">
      <c r="A66" s="601" t="s">
        <v>927</v>
      </c>
      <c r="B66" s="601" t="s">
        <v>2</v>
      </c>
      <c r="C66" s="601" t="s">
        <v>1263</v>
      </c>
      <c r="D66" s="719">
        <v>41487</v>
      </c>
      <c r="E66" s="719" t="s">
        <v>53</v>
      </c>
      <c r="F66" s="620">
        <v>41442</v>
      </c>
      <c r="G66" s="602">
        <v>1</v>
      </c>
      <c r="H66" s="782">
        <v>106.3</v>
      </c>
      <c r="I66" s="609"/>
      <c r="J66" s="701">
        <v>41445</v>
      </c>
      <c r="K66" s="603">
        <v>104.6</v>
      </c>
      <c r="L66" s="721">
        <v>0.01</v>
      </c>
      <c r="M66" s="606">
        <v>10</v>
      </c>
      <c r="N66" s="723">
        <f>SUM((K66-H66)/L66*M66)*G66</f>
        <v>-1700.0000000000027</v>
      </c>
      <c r="O66" s="718" t="s">
        <v>1286</v>
      </c>
      <c r="P66" s="665">
        <v>1</v>
      </c>
      <c r="Q66" s="754">
        <f t="shared" si="7"/>
        <v>-1700.0000000000027</v>
      </c>
      <c r="R66" s="344"/>
      <c r="S66" s="120"/>
    </row>
    <row r="67" spans="1:19" s="337" customFormat="1" ht="15" customHeight="1" x14ac:dyDescent="0.2">
      <c r="A67" s="601" t="s">
        <v>1264</v>
      </c>
      <c r="B67" s="601" t="s">
        <v>79</v>
      </c>
      <c r="C67" s="601" t="s">
        <v>1265</v>
      </c>
      <c r="D67" s="719">
        <v>41487</v>
      </c>
      <c r="E67" s="719" t="s">
        <v>53</v>
      </c>
      <c r="F67" s="620">
        <v>41442</v>
      </c>
      <c r="G67" s="602">
        <v>1</v>
      </c>
      <c r="H67" s="782">
        <v>98.06</v>
      </c>
      <c r="I67" s="609"/>
      <c r="J67" s="701">
        <v>41445</v>
      </c>
      <c r="K67" s="603">
        <v>96.82</v>
      </c>
      <c r="L67" s="721">
        <v>0.01</v>
      </c>
      <c r="M67" s="606">
        <v>10</v>
      </c>
      <c r="N67" s="723">
        <f>SUM((K67-H67)/L67*M67)*G67</f>
        <v>-1240.0000000000091</v>
      </c>
      <c r="O67" s="718" t="s">
        <v>1286</v>
      </c>
      <c r="P67" s="665">
        <v>1</v>
      </c>
      <c r="Q67" s="754">
        <f t="shared" si="7"/>
        <v>-1240.0000000000091</v>
      </c>
      <c r="R67" s="344"/>
      <c r="S67" s="120"/>
    </row>
    <row r="68" spans="1:19" s="337" customFormat="1" ht="15" customHeight="1" x14ac:dyDescent="0.2">
      <c r="A68" s="642" t="s">
        <v>895</v>
      </c>
      <c r="B68" s="642" t="s">
        <v>361</v>
      </c>
      <c r="C68" s="642" t="s">
        <v>1266</v>
      </c>
      <c r="D68" s="747">
        <v>41456</v>
      </c>
      <c r="E68" s="747" t="s">
        <v>78</v>
      </c>
      <c r="F68" s="662">
        <v>41445</v>
      </c>
      <c r="G68" s="663">
        <v>1</v>
      </c>
      <c r="H68" s="783">
        <v>124.4</v>
      </c>
      <c r="I68" s="668"/>
      <c r="J68" s="701">
        <v>41446</v>
      </c>
      <c r="K68" s="664">
        <v>120.9</v>
      </c>
      <c r="L68" s="751">
        <v>0.05</v>
      </c>
      <c r="M68" s="649">
        <v>18.75</v>
      </c>
      <c r="N68" s="753">
        <f>SUM((H68-K68)/L68*M68)*G68</f>
        <v>1312.5</v>
      </c>
      <c r="O68" s="718" t="s">
        <v>1286</v>
      </c>
      <c r="P68" s="665">
        <v>1</v>
      </c>
      <c r="Q68" s="724">
        <f t="shared" si="7"/>
        <v>1312.5</v>
      </c>
      <c r="R68" s="347"/>
      <c r="S68" s="120"/>
    </row>
    <row r="69" spans="1:19" s="343" customFormat="1" ht="15" customHeight="1" x14ac:dyDescent="0.2">
      <c r="A69" s="642" t="s">
        <v>990</v>
      </c>
      <c r="B69" s="642" t="s">
        <v>738</v>
      </c>
      <c r="C69" s="642" t="s">
        <v>1267</v>
      </c>
      <c r="D69" s="747">
        <v>41487</v>
      </c>
      <c r="E69" s="747" t="s">
        <v>78</v>
      </c>
      <c r="F69" s="662">
        <v>41450</v>
      </c>
      <c r="G69" s="663">
        <v>1</v>
      </c>
      <c r="H69" s="783">
        <v>3.68</v>
      </c>
      <c r="I69" s="668"/>
      <c r="J69" s="701">
        <v>41457</v>
      </c>
      <c r="K69" s="664">
        <v>3.69</v>
      </c>
      <c r="L69" s="751">
        <v>1E-3</v>
      </c>
      <c r="M69" s="649">
        <v>10</v>
      </c>
      <c r="N69" s="753">
        <f>SUM((H69-K69)/L69*M69)*G69</f>
        <v>-99.999999999997868</v>
      </c>
      <c r="O69" s="718" t="s">
        <v>1286</v>
      </c>
      <c r="P69" s="665">
        <v>1</v>
      </c>
      <c r="Q69" s="754">
        <f t="shared" si="7"/>
        <v>-99.999999999997868</v>
      </c>
      <c r="R69" s="347"/>
      <c r="S69" s="120"/>
    </row>
    <row r="70" spans="1:19" s="343" customFormat="1" ht="15" customHeight="1" x14ac:dyDescent="0.2">
      <c r="A70" s="601" t="s">
        <v>927</v>
      </c>
      <c r="B70" s="601" t="s">
        <v>2</v>
      </c>
      <c r="C70" s="601" t="s">
        <v>1278</v>
      </c>
      <c r="D70" s="719">
        <v>41518</v>
      </c>
      <c r="E70" s="719" t="s">
        <v>53</v>
      </c>
      <c r="F70" s="617">
        <v>41464</v>
      </c>
      <c r="G70" s="601">
        <v>1</v>
      </c>
      <c r="H70" s="744">
        <v>107.12</v>
      </c>
      <c r="I70" s="609"/>
      <c r="J70" s="701">
        <v>41474</v>
      </c>
      <c r="K70" s="746">
        <v>107.3</v>
      </c>
      <c r="L70" s="721">
        <v>0.01</v>
      </c>
      <c r="M70" s="722">
        <v>10</v>
      </c>
      <c r="N70" s="723">
        <f t="shared" ref="N70:N79" si="9">SUM((K70-H70)/L70*M70)*G70</f>
        <v>179.99999999999261</v>
      </c>
      <c r="O70" s="718" t="s">
        <v>1286</v>
      </c>
      <c r="P70" s="665">
        <v>1</v>
      </c>
      <c r="Q70" s="724">
        <f t="shared" si="7"/>
        <v>179.99999999999261</v>
      </c>
      <c r="R70" s="373"/>
      <c r="S70" s="337"/>
    </row>
    <row r="71" spans="1:19" s="337" customFormat="1" ht="15" customHeight="1" x14ac:dyDescent="0.2">
      <c r="A71" s="601" t="s">
        <v>1273</v>
      </c>
      <c r="B71" s="601" t="s">
        <v>1274</v>
      </c>
      <c r="C71" s="601" t="s">
        <v>1275</v>
      </c>
      <c r="D71" s="719">
        <v>41487</v>
      </c>
      <c r="E71" s="719" t="s">
        <v>53</v>
      </c>
      <c r="F71" s="617">
        <v>41458</v>
      </c>
      <c r="G71" s="601">
        <v>1</v>
      </c>
      <c r="H71" s="744">
        <v>98.96</v>
      </c>
      <c r="I71" s="609"/>
      <c r="J71" s="701">
        <v>41477</v>
      </c>
      <c r="K71" s="744">
        <v>106.2</v>
      </c>
      <c r="L71" s="721">
        <v>0.01</v>
      </c>
      <c r="M71" s="722">
        <v>10</v>
      </c>
      <c r="N71" s="723">
        <f t="shared" si="9"/>
        <v>7240.0000000000091</v>
      </c>
      <c r="O71" s="718" t="s">
        <v>1286</v>
      </c>
      <c r="P71" s="665">
        <v>1</v>
      </c>
      <c r="Q71" s="724">
        <f t="shared" si="7"/>
        <v>7240.0000000000091</v>
      </c>
      <c r="R71" s="373"/>
    </row>
    <row r="72" spans="1:19" s="337" customFormat="1" ht="15" customHeight="1" x14ac:dyDescent="0.2">
      <c r="A72" s="601" t="s">
        <v>50</v>
      </c>
      <c r="B72" s="601" t="s">
        <v>49</v>
      </c>
      <c r="C72" s="601" t="s">
        <v>1276</v>
      </c>
      <c r="D72" s="719">
        <v>41487</v>
      </c>
      <c r="E72" s="719" t="s">
        <v>53</v>
      </c>
      <c r="F72" s="617">
        <v>41459</v>
      </c>
      <c r="G72" s="601">
        <v>1</v>
      </c>
      <c r="H72" s="744">
        <v>911.3</v>
      </c>
      <c r="I72" s="609"/>
      <c r="J72" s="701">
        <v>41477</v>
      </c>
      <c r="K72" s="744">
        <v>916</v>
      </c>
      <c r="L72" s="721">
        <v>0.25</v>
      </c>
      <c r="M72" s="722">
        <v>25</v>
      </c>
      <c r="N72" s="723">
        <f t="shared" si="9"/>
        <v>470.00000000000455</v>
      </c>
      <c r="O72" s="718" t="s">
        <v>1286</v>
      </c>
      <c r="P72" s="665">
        <v>1</v>
      </c>
      <c r="Q72" s="724">
        <f t="shared" si="7"/>
        <v>470.00000000000455</v>
      </c>
      <c r="R72" s="373"/>
    </row>
    <row r="73" spans="1:19" s="337" customFormat="1" ht="15" customHeight="1" x14ac:dyDescent="0.2">
      <c r="A73" s="601" t="s">
        <v>919</v>
      </c>
      <c r="B73" s="601" t="s">
        <v>920</v>
      </c>
      <c r="C73" s="601" t="s">
        <v>1277</v>
      </c>
      <c r="D73" s="719">
        <v>41487</v>
      </c>
      <c r="E73" s="719" t="s">
        <v>53</v>
      </c>
      <c r="F73" s="617">
        <v>41462</v>
      </c>
      <c r="G73" s="601">
        <v>1</v>
      </c>
      <c r="H73" s="744">
        <v>1829</v>
      </c>
      <c r="I73" s="609"/>
      <c r="J73" s="701">
        <v>41477</v>
      </c>
      <c r="K73" s="746">
        <v>1935</v>
      </c>
      <c r="L73" s="721">
        <v>1</v>
      </c>
      <c r="M73" s="722">
        <v>10</v>
      </c>
      <c r="N73" s="723">
        <f t="shared" si="9"/>
        <v>1060</v>
      </c>
      <c r="O73" s="718" t="s">
        <v>1286</v>
      </c>
      <c r="P73" s="665">
        <v>1</v>
      </c>
      <c r="Q73" s="724">
        <f t="shared" si="7"/>
        <v>1060</v>
      </c>
      <c r="R73" s="373"/>
    </row>
    <row r="74" spans="1:19" s="337" customFormat="1" ht="15" customHeight="1" x14ac:dyDescent="0.2">
      <c r="A74" s="601" t="s">
        <v>84</v>
      </c>
      <c r="B74" s="601" t="s">
        <v>83</v>
      </c>
      <c r="C74" s="601" t="s">
        <v>1281</v>
      </c>
      <c r="D74" s="719">
        <v>37834</v>
      </c>
      <c r="E74" s="719" t="s">
        <v>53</v>
      </c>
      <c r="F74" s="617">
        <v>41466</v>
      </c>
      <c r="G74" s="601">
        <v>1</v>
      </c>
      <c r="H74" s="744">
        <v>296.48</v>
      </c>
      <c r="I74" s="609"/>
      <c r="J74" s="701">
        <v>41477</v>
      </c>
      <c r="K74" s="746">
        <v>306</v>
      </c>
      <c r="L74" s="721">
        <v>0.01</v>
      </c>
      <c r="M74" s="722">
        <v>4.2</v>
      </c>
      <c r="N74" s="723">
        <f t="shared" si="9"/>
        <v>3998.3999999999924</v>
      </c>
      <c r="O74" s="718" t="s">
        <v>1286</v>
      </c>
      <c r="P74" s="665">
        <v>1</v>
      </c>
      <c r="Q74" s="724">
        <f t="shared" si="7"/>
        <v>3998.3999999999924</v>
      </c>
      <c r="R74" s="373"/>
    </row>
    <row r="75" spans="1:19" s="337" customFormat="1" ht="15" customHeight="1" x14ac:dyDescent="0.2">
      <c r="A75" s="601" t="s">
        <v>48</v>
      </c>
      <c r="B75" s="601" t="s">
        <v>47</v>
      </c>
      <c r="C75" s="601" t="s">
        <v>1268</v>
      </c>
      <c r="D75" s="719">
        <v>41487</v>
      </c>
      <c r="E75" s="719" t="s">
        <v>53</v>
      </c>
      <c r="F75" s="620">
        <v>41451</v>
      </c>
      <c r="G75" s="602">
        <v>1</v>
      </c>
      <c r="H75" s="782">
        <v>148.67500000000001</v>
      </c>
      <c r="I75" s="609"/>
      <c r="J75" s="701">
        <v>41479</v>
      </c>
      <c r="K75" s="782">
        <v>151.85</v>
      </c>
      <c r="L75" s="721">
        <v>2.5000000000000001E-2</v>
      </c>
      <c r="M75" s="606">
        <v>12.5</v>
      </c>
      <c r="N75" s="723">
        <f t="shared" si="9"/>
        <v>1587.4999999999914</v>
      </c>
      <c r="O75" s="718" t="s">
        <v>1286</v>
      </c>
      <c r="P75" s="665">
        <v>1</v>
      </c>
      <c r="Q75" s="724">
        <f t="shared" si="7"/>
        <v>1587.4999999999914</v>
      </c>
      <c r="R75" s="344"/>
      <c r="S75" s="120"/>
    </row>
    <row r="76" spans="1:19" s="337" customFormat="1" ht="15" customHeight="1" x14ac:dyDescent="0.2">
      <c r="A76" s="601" t="s">
        <v>1270</v>
      </c>
      <c r="B76" s="601" t="s">
        <v>1271</v>
      </c>
      <c r="C76" s="601" t="s">
        <v>1272</v>
      </c>
      <c r="D76" s="719">
        <v>41518</v>
      </c>
      <c r="E76" s="719" t="s">
        <v>53</v>
      </c>
      <c r="F76" s="617">
        <v>41458</v>
      </c>
      <c r="G76" s="601">
        <v>1</v>
      </c>
      <c r="H76" s="744">
        <v>1484</v>
      </c>
      <c r="I76" s="609"/>
      <c r="J76" s="701">
        <v>41479</v>
      </c>
      <c r="K76" s="744">
        <v>1580</v>
      </c>
      <c r="L76" s="721">
        <v>1</v>
      </c>
      <c r="M76" s="722">
        <v>10</v>
      </c>
      <c r="N76" s="723">
        <f t="shared" si="9"/>
        <v>960</v>
      </c>
      <c r="O76" s="719" t="s">
        <v>380</v>
      </c>
      <c r="P76" s="665">
        <v>1.53667</v>
      </c>
      <c r="Q76" s="724">
        <f t="shared" si="7"/>
        <v>624.72749516812326</v>
      </c>
      <c r="R76" s="373"/>
    </row>
    <row r="77" spans="1:19" s="337" customFormat="1" ht="15" customHeight="1" x14ac:dyDescent="0.2">
      <c r="A77" s="601" t="s">
        <v>1279</v>
      </c>
      <c r="B77" s="601" t="s">
        <v>75</v>
      </c>
      <c r="C77" s="601" t="s">
        <v>1280</v>
      </c>
      <c r="D77" s="719">
        <v>41518</v>
      </c>
      <c r="E77" s="719" t="s">
        <v>53</v>
      </c>
      <c r="F77" s="617">
        <v>41466</v>
      </c>
      <c r="G77" s="601">
        <v>1</v>
      </c>
      <c r="H77" s="744">
        <v>8123</v>
      </c>
      <c r="I77" s="609"/>
      <c r="J77" s="701">
        <v>41479</v>
      </c>
      <c r="K77" s="746">
        <v>8280</v>
      </c>
      <c r="L77" s="721">
        <v>0.5</v>
      </c>
      <c r="M77" s="722">
        <v>12.5</v>
      </c>
      <c r="N77" s="723">
        <f t="shared" si="9"/>
        <v>3925</v>
      </c>
      <c r="O77" s="719" t="s">
        <v>379</v>
      </c>
      <c r="P77" s="665">
        <v>1.3223</v>
      </c>
      <c r="Q77" s="724">
        <f t="shared" si="7"/>
        <v>2968.312788323376</v>
      </c>
      <c r="R77" s="373"/>
    </row>
    <row r="78" spans="1:19" s="337" customFormat="1" ht="15" customHeight="1" x14ac:dyDescent="0.2">
      <c r="A78" s="601" t="s">
        <v>59</v>
      </c>
      <c r="B78" s="601" t="s">
        <v>58</v>
      </c>
      <c r="C78" s="601" t="s">
        <v>1284</v>
      </c>
      <c r="D78" s="719">
        <v>41487</v>
      </c>
      <c r="E78" s="719" t="s">
        <v>53</v>
      </c>
      <c r="F78" s="617">
        <v>41477</v>
      </c>
      <c r="G78" s="601">
        <v>1</v>
      </c>
      <c r="H78" s="744">
        <v>1311.95</v>
      </c>
      <c r="I78" s="609"/>
      <c r="J78" s="701">
        <v>41479</v>
      </c>
      <c r="K78" s="746">
        <v>1315</v>
      </c>
      <c r="L78" s="721">
        <v>1</v>
      </c>
      <c r="M78" s="722">
        <v>100</v>
      </c>
      <c r="N78" s="723">
        <f t="shared" si="9"/>
        <v>304.99999999999545</v>
      </c>
      <c r="O78" s="718" t="s">
        <v>1286</v>
      </c>
      <c r="P78" s="665">
        <v>1</v>
      </c>
      <c r="Q78" s="724">
        <f t="shared" si="7"/>
        <v>304.99999999999545</v>
      </c>
      <c r="R78" s="373"/>
    </row>
    <row r="79" spans="1:19" s="337" customFormat="1" ht="15" customHeight="1" x14ac:dyDescent="0.2">
      <c r="A79" s="601" t="s">
        <v>1068</v>
      </c>
      <c r="B79" s="601" t="s">
        <v>70</v>
      </c>
      <c r="C79" s="601" t="s">
        <v>1285</v>
      </c>
      <c r="D79" s="719">
        <v>41487</v>
      </c>
      <c r="E79" s="719" t="s">
        <v>53</v>
      </c>
      <c r="F79" s="617">
        <v>41477</v>
      </c>
      <c r="G79" s="601">
        <v>1</v>
      </c>
      <c r="H79" s="744">
        <v>321.05</v>
      </c>
      <c r="I79" s="609"/>
      <c r="J79" s="701">
        <v>41480</v>
      </c>
      <c r="K79" s="746">
        <v>314.5</v>
      </c>
      <c r="L79" s="721">
        <v>0.05</v>
      </c>
      <c r="M79" s="722">
        <v>12.5</v>
      </c>
      <c r="N79" s="723">
        <f t="shared" si="9"/>
        <v>-1637.5000000000027</v>
      </c>
      <c r="O79" s="718" t="s">
        <v>1286</v>
      </c>
      <c r="P79" s="665">
        <v>1</v>
      </c>
      <c r="Q79" s="754">
        <f t="shared" si="7"/>
        <v>-1637.5000000000027</v>
      </c>
      <c r="R79" s="373"/>
    </row>
    <row r="80" spans="1:19" s="337" customFormat="1" ht="15" customHeight="1" x14ac:dyDescent="0.2">
      <c r="A80" s="601" t="s">
        <v>898</v>
      </c>
      <c r="B80" s="601" t="s">
        <v>807</v>
      </c>
      <c r="C80" s="601" t="s">
        <v>1293</v>
      </c>
      <c r="D80" s="719">
        <v>41518</v>
      </c>
      <c r="E80" s="719" t="s">
        <v>53</v>
      </c>
      <c r="F80" s="617">
        <v>41500</v>
      </c>
      <c r="G80" s="601">
        <v>1</v>
      </c>
      <c r="H80" s="744">
        <v>299</v>
      </c>
      <c r="I80" s="609"/>
      <c r="J80" s="701">
        <v>41505</v>
      </c>
      <c r="K80" s="746">
        <v>294.8</v>
      </c>
      <c r="L80" s="721">
        <v>0.01</v>
      </c>
      <c r="M80" s="722">
        <v>4.2</v>
      </c>
      <c r="N80" s="723">
        <f t="shared" ref="N80:N86" si="10">SUM((K80-H80)/L80*M80)*G80</f>
        <v>-1763.9999999999952</v>
      </c>
      <c r="O80" s="719" t="s">
        <v>885</v>
      </c>
      <c r="P80" s="665">
        <v>1</v>
      </c>
      <c r="Q80" s="724">
        <f t="shared" ref="Q80:Q86" si="11">SUM(N80*P80)</f>
        <v>-1763.9999999999952</v>
      </c>
      <c r="R80" s="373"/>
    </row>
    <row r="81" spans="1:18" s="337" customFormat="1" ht="15" customHeight="1" x14ac:dyDescent="0.2">
      <c r="A81" s="601" t="s">
        <v>927</v>
      </c>
      <c r="B81" s="601" t="s">
        <v>2</v>
      </c>
      <c r="C81" s="601" t="s">
        <v>1292</v>
      </c>
      <c r="D81" s="719">
        <v>41548</v>
      </c>
      <c r="E81" s="719" t="s">
        <v>53</v>
      </c>
      <c r="F81" s="617">
        <v>41501</v>
      </c>
      <c r="G81" s="601">
        <v>1</v>
      </c>
      <c r="H81" s="744">
        <v>109.93</v>
      </c>
      <c r="I81" s="609"/>
      <c r="J81" s="701">
        <v>41506</v>
      </c>
      <c r="K81" s="746">
        <v>108.77</v>
      </c>
      <c r="L81" s="721">
        <v>0.01</v>
      </c>
      <c r="M81" s="722">
        <v>10</v>
      </c>
      <c r="N81" s="723">
        <f t="shared" si="10"/>
        <v>-1160.0000000000109</v>
      </c>
      <c r="O81" s="719" t="s">
        <v>885</v>
      </c>
      <c r="P81" s="665">
        <v>1</v>
      </c>
      <c r="Q81" s="724">
        <f t="shared" si="11"/>
        <v>-1160.0000000000109</v>
      </c>
      <c r="R81" s="373"/>
    </row>
    <row r="82" spans="1:18" s="337" customFormat="1" ht="15" customHeight="1" x14ac:dyDescent="0.2">
      <c r="A82" s="601" t="s">
        <v>1294</v>
      </c>
      <c r="B82" s="601" t="s">
        <v>923</v>
      </c>
      <c r="C82" s="601" t="s">
        <v>1295</v>
      </c>
      <c r="D82" s="719">
        <v>41518</v>
      </c>
      <c r="E82" s="719" t="s">
        <v>53</v>
      </c>
      <c r="F82" s="617">
        <v>41502</v>
      </c>
      <c r="G82" s="601">
        <v>1</v>
      </c>
      <c r="H82" s="744">
        <v>43.28</v>
      </c>
      <c r="I82" s="609"/>
      <c r="J82" s="701">
        <v>41508</v>
      </c>
      <c r="K82" s="746">
        <v>42.65</v>
      </c>
      <c r="L82" s="721">
        <v>0.01</v>
      </c>
      <c r="M82" s="722">
        <v>6</v>
      </c>
      <c r="N82" s="723">
        <f t="shared" si="10"/>
        <v>-378.00000000000153</v>
      </c>
      <c r="O82" s="719" t="s">
        <v>885</v>
      </c>
      <c r="P82" s="665">
        <v>1</v>
      </c>
      <c r="Q82" s="724">
        <f t="shared" si="11"/>
        <v>-378.00000000000153</v>
      </c>
      <c r="R82" s="373"/>
    </row>
    <row r="83" spans="1:18" s="337" customFormat="1" ht="15" customHeight="1" x14ac:dyDescent="0.2">
      <c r="A83" s="601" t="s">
        <v>1</v>
      </c>
      <c r="B83" s="601" t="s">
        <v>2</v>
      </c>
      <c r="C83" s="601" t="s">
        <v>1292</v>
      </c>
      <c r="D83" s="719">
        <v>41548</v>
      </c>
      <c r="E83" s="719" t="s">
        <v>53</v>
      </c>
      <c r="F83" s="617">
        <v>41512</v>
      </c>
      <c r="G83" s="601">
        <v>1</v>
      </c>
      <c r="H83" s="744">
        <v>111.5</v>
      </c>
      <c r="I83" s="609"/>
      <c r="J83" s="701">
        <v>41512</v>
      </c>
      <c r="K83" s="746">
        <v>110.5</v>
      </c>
      <c r="L83" s="721">
        <v>0.01</v>
      </c>
      <c r="M83" s="722">
        <v>10</v>
      </c>
      <c r="N83" s="723">
        <f t="shared" si="10"/>
        <v>-1000</v>
      </c>
      <c r="O83" s="719" t="s">
        <v>885</v>
      </c>
      <c r="P83" s="608">
        <v>1</v>
      </c>
      <c r="Q83" s="724">
        <f t="shared" si="11"/>
        <v>-1000</v>
      </c>
      <c r="R83" s="373"/>
    </row>
    <row r="84" spans="1:18" x14ac:dyDescent="0.2">
      <c r="A84" s="601" t="s">
        <v>52</v>
      </c>
      <c r="B84" s="601" t="s">
        <v>1322</v>
      </c>
      <c r="C84" s="601" t="s">
        <v>1323</v>
      </c>
      <c r="D84" s="719">
        <v>41518</v>
      </c>
      <c r="E84" s="719" t="s">
        <v>53</v>
      </c>
      <c r="F84" s="617">
        <v>41513</v>
      </c>
      <c r="G84" s="601">
        <v>1</v>
      </c>
      <c r="H84" s="744">
        <v>1557</v>
      </c>
      <c r="I84" s="609"/>
      <c r="J84" s="701">
        <v>41513</v>
      </c>
      <c r="K84" s="746">
        <v>1528.6</v>
      </c>
      <c r="L84" s="784">
        <v>0.1</v>
      </c>
      <c r="M84" s="700">
        <v>5</v>
      </c>
      <c r="N84" s="723">
        <f t="shared" si="10"/>
        <v>-1420.0000000000045</v>
      </c>
      <c r="O84" s="719" t="s">
        <v>885</v>
      </c>
      <c r="P84" s="608">
        <v>1</v>
      </c>
      <c r="Q84" s="724">
        <f t="shared" si="11"/>
        <v>-1420.0000000000045</v>
      </c>
    </row>
    <row r="85" spans="1:18" s="337" customFormat="1" ht="15" customHeight="1" x14ac:dyDescent="0.2">
      <c r="A85" s="601" t="s">
        <v>1319</v>
      </c>
      <c r="B85" s="601" t="s">
        <v>1320</v>
      </c>
      <c r="C85" s="785" t="s">
        <v>1321</v>
      </c>
      <c r="D85" s="719">
        <v>41518</v>
      </c>
      <c r="E85" s="719" t="s">
        <v>53</v>
      </c>
      <c r="F85" s="617">
        <v>41512</v>
      </c>
      <c r="G85" s="601">
        <v>1</v>
      </c>
      <c r="H85" s="744">
        <v>506.75</v>
      </c>
      <c r="I85" s="609"/>
      <c r="J85" s="701">
        <v>41514</v>
      </c>
      <c r="K85" s="746">
        <v>492.25</v>
      </c>
      <c r="L85" s="721">
        <v>0.25</v>
      </c>
      <c r="M85" s="722">
        <v>12.5</v>
      </c>
      <c r="N85" s="723">
        <f t="shared" si="10"/>
        <v>-725</v>
      </c>
      <c r="O85" s="719" t="s">
        <v>885</v>
      </c>
      <c r="P85" s="608">
        <v>1</v>
      </c>
      <c r="Q85" s="724">
        <f t="shared" si="11"/>
        <v>-725</v>
      </c>
      <c r="R85" s="373"/>
    </row>
    <row r="86" spans="1:18" s="337" customFormat="1" ht="15" customHeight="1" x14ac:dyDescent="0.2">
      <c r="A86" s="601" t="s">
        <v>1316</v>
      </c>
      <c r="B86" s="601" t="s">
        <v>49</v>
      </c>
      <c r="C86" s="601" t="s">
        <v>1317</v>
      </c>
      <c r="D86" s="719">
        <v>41518</v>
      </c>
      <c r="E86" s="719" t="s">
        <v>53</v>
      </c>
      <c r="F86" s="617">
        <v>41513</v>
      </c>
      <c r="G86" s="601">
        <v>1</v>
      </c>
      <c r="H86" s="744">
        <v>953</v>
      </c>
      <c r="I86" s="609"/>
      <c r="J86" s="701">
        <v>41519</v>
      </c>
      <c r="K86" s="746">
        <v>954</v>
      </c>
      <c r="L86" s="721">
        <v>0.25</v>
      </c>
      <c r="M86" s="722">
        <v>25</v>
      </c>
      <c r="N86" s="723">
        <f t="shared" si="10"/>
        <v>100</v>
      </c>
      <c r="O86" s="719" t="s">
        <v>885</v>
      </c>
      <c r="P86" s="608">
        <v>1</v>
      </c>
      <c r="Q86" s="724">
        <f t="shared" si="11"/>
        <v>100</v>
      </c>
      <c r="R86" s="373"/>
    </row>
    <row r="87" spans="1:18" s="337" customFormat="1" ht="15" customHeight="1" x14ac:dyDescent="0.2">
      <c r="A87" s="601" t="s">
        <v>990</v>
      </c>
      <c r="B87" s="601" t="s">
        <v>738</v>
      </c>
      <c r="C87" s="601" t="s">
        <v>1324</v>
      </c>
      <c r="D87" s="719">
        <v>41548</v>
      </c>
      <c r="E87" s="719" t="s">
        <v>53</v>
      </c>
      <c r="F87" s="617">
        <v>41515</v>
      </c>
      <c r="G87" s="601">
        <v>1</v>
      </c>
      <c r="H87" s="744">
        <v>3.641</v>
      </c>
      <c r="I87" s="609"/>
      <c r="J87" s="701">
        <v>41523</v>
      </c>
      <c r="K87" s="746">
        <v>3.56</v>
      </c>
      <c r="L87" s="721">
        <v>1E-3</v>
      </c>
      <c r="M87" s="722">
        <v>10</v>
      </c>
      <c r="N87" s="723">
        <f>SUM((K87-H87)/L87*M87)*G87</f>
        <v>-809.99999999999955</v>
      </c>
      <c r="O87" s="719" t="s">
        <v>885</v>
      </c>
      <c r="P87" s="608">
        <v>1</v>
      </c>
      <c r="Q87" s="724">
        <f t="shared" ref="Q87:Q95" si="12">SUM(N87*P87)</f>
        <v>-809.99999999999955</v>
      </c>
      <c r="R87" s="373"/>
    </row>
    <row r="88" spans="1:18" s="343" customFormat="1" ht="15" customHeight="1" x14ac:dyDescent="0.2">
      <c r="A88" s="642" t="s">
        <v>386</v>
      </c>
      <c r="B88" s="642" t="s">
        <v>1071</v>
      </c>
      <c r="C88" s="642" t="s">
        <v>1325</v>
      </c>
      <c r="D88" s="747">
        <v>41548</v>
      </c>
      <c r="E88" s="747" t="s">
        <v>78</v>
      </c>
      <c r="F88" s="748">
        <v>41516</v>
      </c>
      <c r="G88" s="642">
        <v>1</v>
      </c>
      <c r="H88" s="749">
        <v>83.07</v>
      </c>
      <c r="I88" s="668"/>
      <c r="J88" s="701">
        <v>41517</v>
      </c>
      <c r="K88" s="750">
        <v>84.2</v>
      </c>
      <c r="L88" s="751">
        <v>0.01</v>
      </c>
      <c r="M88" s="752">
        <v>5</v>
      </c>
      <c r="N88" s="753">
        <f>SUM((H88-K88)/L88*M88)*G88</f>
        <v>-565.00000000000477</v>
      </c>
      <c r="O88" s="747" t="s">
        <v>885</v>
      </c>
      <c r="P88" s="665">
        <v>1</v>
      </c>
      <c r="Q88" s="754">
        <f t="shared" si="12"/>
        <v>-565.00000000000477</v>
      </c>
      <c r="R88" s="283"/>
    </row>
    <row r="89" spans="1:18" s="337" customFormat="1" ht="15" customHeight="1" x14ac:dyDescent="0.2">
      <c r="A89" s="601" t="s">
        <v>84</v>
      </c>
      <c r="B89" s="601" t="s">
        <v>83</v>
      </c>
      <c r="C89" s="601" t="s">
        <v>1375</v>
      </c>
      <c r="D89" s="719">
        <v>41579</v>
      </c>
      <c r="E89" s="719" t="s">
        <v>53</v>
      </c>
      <c r="F89" s="617">
        <v>41544</v>
      </c>
      <c r="G89" s="601">
        <v>2</v>
      </c>
      <c r="H89" s="744">
        <v>301.60000000000002</v>
      </c>
      <c r="I89" s="609"/>
      <c r="J89" s="701">
        <v>41544</v>
      </c>
      <c r="K89" s="746">
        <v>299</v>
      </c>
      <c r="L89" s="721">
        <v>0.01</v>
      </c>
      <c r="M89" s="722">
        <v>4.2</v>
      </c>
      <c r="N89" s="723">
        <f>SUM((K89-H89)/L89*M89)*G89</f>
        <v>-2184.0000000000191</v>
      </c>
      <c r="O89" s="719" t="s">
        <v>885</v>
      </c>
      <c r="P89" s="608">
        <v>1</v>
      </c>
      <c r="Q89" s="724">
        <f t="shared" si="12"/>
        <v>-2184.0000000000191</v>
      </c>
      <c r="R89" s="373"/>
    </row>
    <row r="90" spans="1:18" s="343" customFormat="1" ht="15" customHeight="1" x14ac:dyDescent="0.2">
      <c r="A90" s="642" t="s">
        <v>1350</v>
      </c>
      <c r="B90" s="642" t="s">
        <v>920</v>
      </c>
      <c r="C90" s="642" t="s">
        <v>1351</v>
      </c>
      <c r="D90" s="747">
        <v>41579</v>
      </c>
      <c r="E90" s="747" t="s">
        <v>78</v>
      </c>
      <c r="F90" s="748">
        <v>41534</v>
      </c>
      <c r="G90" s="642">
        <v>6</v>
      </c>
      <c r="H90" s="749">
        <v>1718</v>
      </c>
      <c r="I90" s="668"/>
      <c r="J90" s="701">
        <v>41540</v>
      </c>
      <c r="K90" s="750">
        <v>1702</v>
      </c>
      <c r="L90" s="751">
        <v>1</v>
      </c>
      <c r="M90" s="752">
        <v>10</v>
      </c>
      <c r="N90" s="753">
        <f>SUM((H90-K90)/L90*M90)*G90</f>
        <v>960</v>
      </c>
      <c r="O90" s="747" t="s">
        <v>885</v>
      </c>
      <c r="P90" s="665">
        <v>1</v>
      </c>
      <c r="Q90" s="754">
        <f t="shared" si="12"/>
        <v>960</v>
      </c>
      <c r="R90" s="283"/>
    </row>
    <row r="91" spans="1:18" s="337" customFormat="1" ht="15" customHeight="1" x14ac:dyDescent="0.2">
      <c r="A91" s="601" t="s">
        <v>50</v>
      </c>
      <c r="B91" s="601" t="s">
        <v>1071</v>
      </c>
      <c r="C91" s="601" t="s">
        <v>1374</v>
      </c>
      <c r="D91" s="719">
        <v>41548</v>
      </c>
      <c r="E91" s="719" t="s">
        <v>53</v>
      </c>
      <c r="F91" s="617">
        <v>41544</v>
      </c>
      <c r="G91" s="601">
        <v>3</v>
      </c>
      <c r="H91" s="744">
        <v>927.03</v>
      </c>
      <c r="I91" s="609"/>
      <c r="J91" s="701">
        <v>41547</v>
      </c>
      <c r="K91" s="746">
        <v>918.97</v>
      </c>
      <c r="L91" s="721">
        <v>0.25</v>
      </c>
      <c r="M91" s="722">
        <v>25</v>
      </c>
      <c r="N91" s="723">
        <f>SUM((K91-H91)/L91*M91)*G91</f>
        <v>-2417.9999999999836</v>
      </c>
      <c r="O91" s="719" t="s">
        <v>885</v>
      </c>
      <c r="P91" s="608">
        <v>1</v>
      </c>
      <c r="Q91" s="724">
        <f t="shared" si="12"/>
        <v>-2417.9999999999836</v>
      </c>
      <c r="R91" s="373"/>
    </row>
    <row r="92" spans="1:18" s="343" customFormat="1" ht="15" customHeight="1" x14ac:dyDescent="0.2">
      <c r="A92" s="642" t="s">
        <v>1385</v>
      </c>
      <c r="B92" s="642" t="s">
        <v>2</v>
      </c>
      <c r="C92" s="642" t="s">
        <v>1386</v>
      </c>
      <c r="D92" s="747">
        <v>41579</v>
      </c>
      <c r="E92" s="747" t="s">
        <v>78</v>
      </c>
      <c r="F92" s="748">
        <v>41548</v>
      </c>
      <c r="G92" s="642">
        <v>2</v>
      </c>
      <c r="H92" s="749">
        <v>106.9</v>
      </c>
      <c r="I92" s="668"/>
      <c r="J92" s="701">
        <v>41548</v>
      </c>
      <c r="K92" s="750">
        <v>107.92</v>
      </c>
      <c r="L92" s="751">
        <v>0.01</v>
      </c>
      <c r="M92" s="752">
        <v>10</v>
      </c>
      <c r="N92" s="753">
        <f>SUM((H92-K92)/L92*M92)*G92</f>
        <v>-2039.999999999992</v>
      </c>
      <c r="O92" s="747" t="s">
        <v>885</v>
      </c>
      <c r="P92" s="665">
        <v>1</v>
      </c>
      <c r="Q92" s="754">
        <f t="shared" si="12"/>
        <v>-2039.999999999992</v>
      </c>
      <c r="R92" s="283"/>
    </row>
    <row r="93" spans="1:18" s="337" customFormat="1" ht="15" customHeight="1" x14ac:dyDescent="0.2">
      <c r="A93" s="601" t="s">
        <v>990</v>
      </c>
      <c r="B93" s="601" t="s">
        <v>738</v>
      </c>
      <c r="C93" s="601" t="s">
        <v>1387</v>
      </c>
      <c r="D93" s="719">
        <v>41579</v>
      </c>
      <c r="E93" s="719" t="s">
        <v>53</v>
      </c>
      <c r="F93" s="617">
        <v>40544</v>
      </c>
      <c r="G93" s="601">
        <v>4</v>
      </c>
      <c r="H93" s="744">
        <v>3.6259999999999999</v>
      </c>
      <c r="I93" s="609"/>
      <c r="J93" s="701">
        <v>41549</v>
      </c>
      <c r="K93" s="746">
        <v>3.5760000000000001</v>
      </c>
      <c r="L93" s="721">
        <v>1E-3</v>
      </c>
      <c r="M93" s="722">
        <v>10</v>
      </c>
      <c r="N93" s="723">
        <f>SUM((K93-H93)/L93*M93)*G93</f>
        <v>-1999.999999999993</v>
      </c>
      <c r="O93" s="719" t="s">
        <v>885</v>
      </c>
      <c r="P93" s="608">
        <v>1</v>
      </c>
      <c r="Q93" s="724">
        <f t="shared" si="12"/>
        <v>-1999.999999999993</v>
      </c>
      <c r="R93" s="373"/>
    </row>
    <row r="94" spans="1:18" s="343" customFormat="1" ht="15" customHeight="1" x14ac:dyDescent="0.2">
      <c r="A94" s="642" t="s">
        <v>1382</v>
      </c>
      <c r="B94" s="642" t="s">
        <v>1383</v>
      </c>
      <c r="C94" s="642" t="s">
        <v>1384</v>
      </c>
      <c r="D94" s="747">
        <v>41579</v>
      </c>
      <c r="E94" s="747" t="s">
        <v>78</v>
      </c>
      <c r="F94" s="748">
        <v>41547</v>
      </c>
      <c r="G94" s="642">
        <v>2</v>
      </c>
      <c r="H94" s="749">
        <v>101.7</v>
      </c>
      <c r="I94" s="668"/>
      <c r="J94" s="701">
        <v>41549</v>
      </c>
      <c r="K94" s="750">
        <v>102.7</v>
      </c>
      <c r="L94" s="751">
        <v>0.01</v>
      </c>
      <c r="M94" s="752">
        <v>10</v>
      </c>
      <c r="N94" s="753">
        <f>SUM((H94-K94)/L94*M94)*G94</f>
        <v>-2000</v>
      </c>
      <c r="O94" s="747" t="s">
        <v>885</v>
      </c>
      <c r="P94" s="665">
        <v>1</v>
      </c>
      <c r="Q94" s="754">
        <f t="shared" si="12"/>
        <v>-2000</v>
      </c>
      <c r="R94" s="283"/>
    </row>
    <row r="95" spans="1:18" s="343" customFormat="1" ht="15" customHeight="1" x14ac:dyDescent="0.2">
      <c r="A95" s="642" t="s">
        <v>107</v>
      </c>
      <c r="B95" s="642" t="s">
        <v>106</v>
      </c>
      <c r="C95" s="642" t="s">
        <v>1380</v>
      </c>
      <c r="D95" s="747">
        <v>41579</v>
      </c>
      <c r="E95" s="747" t="s">
        <v>78</v>
      </c>
      <c r="F95" s="748">
        <v>41547</v>
      </c>
      <c r="G95" s="642">
        <v>1</v>
      </c>
      <c r="H95" s="749">
        <v>1292.5</v>
      </c>
      <c r="I95" s="668"/>
      <c r="J95" s="701">
        <v>41551</v>
      </c>
      <c r="K95" s="786">
        <v>1290</v>
      </c>
      <c r="L95" s="751">
        <v>0.25</v>
      </c>
      <c r="M95" s="752">
        <v>12.5</v>
      </c>
      <c r="N95" s="753">
        <f>SUM((H95-K95)/L95*M95)*G95</f>
        <v>125</v>
      </c>
      <c r="O95" s="747" t="s">
        <v>885</v>
      </c>
      <c r="P95" s="665">
        <v>1</v>
      </c>
      <c r="Q95" s="754">
        <f t="shared" si="12"/>
        <v>125</v>
      </c>
      <c r="R95" s="283"/>
    </row>
    <row r="96" spans="1:18" s="343" customFormat="1" ht="15" customHeight="1" x14ac:dyDescent="0.2">
      <c r="A96" s="642" t="s">
        <v>1319</v>
      </c>
      <c r="B96" s="642" t="s">
        <v>1320</v>
      </c>
      <c r="C96" s="642" t="s">
        <v>1381</v>
      </c>
      <c r="D96" s="747">
        <v>41609</v>
      </c>
      <c r="E96" s="747" t="s">
        <v>78</v>
      </c>
      <c r="F96" s="748">
        <v>41547</v>
      </c>
      <c r="G96" s="642">
        <v>4</v>
      </c>
      <c r="H96" s="749">
        <v>446.5</v>
      </c>
      <c r="I96" s="668"/>
      <c r="J96" s="701">
        <v>41554</v>
      </c>
      <c r="K96" s="750">
        <v>444</v>
      </c>
      <c r="L96" s="751">
        <v>0.25</v>
      </c>
      <c r="M96" s="752">
        <v>12.5</v>
      </c>
      <c r="N96" s="753">
        <f>SUM((H96-K96)/L96*M96)*G96</f>
        <v>500</v>
      </c>
      <c r="O96" s="747" t="s">
        <v>885</v>
      </c>
      <c r="P96" s="665">
        <v>1</v>
      </c>
      <c r="Q96" s="754">
        <f>SUM(N96*P96)</f>
        <v>500</v>
      </c>
      <c r="R96" s="283"/>
    </row>
    <row r="97" spans="1:18" s="337" customFormat="1" ht="15" customHeight="1" x14ac:dyDescent="0.2">
      <c r="A97" s="601" t="s">
        <v>386</v>
      </c>
      <c r="B97" s="601" t="s">
        <v>1071</v>
      </c>
      <c r="C97" s="601" t="s">
        <v>1373</v>
      </c>
      <c r="D97" s="719">
        <v>41609</v>
      </c>
      <c r="E97" s="719" t="s">
        <v>53</v>
      </c>
      <c r="F97" s="617">
        <v>41544</v>
      </c>
      <c r="G97" s="601">
        <v>8</v>
      </c>
      <c r="H97" s="744">
        <v>86.09</v>
      </c>
      <c r="I97" s="609"/>
      <c r="J97" s="701">
        <v>41554</v>
      </c>
      <c r="K97" s="746">
        <v>86.49</v>
      </c>
      <c r="L97" s="721">
        <v>0.01</v>
      </c>
      <c r="M97" s="722">
        <v>5</v>
      </c>
      <c r="N97" s="723">
        <f t="shared" ref="N97" si="13">SUM((K97-H97)/L97*M97)*G97</f>
        <v>1599.9999999999659</v>
      </c>
      <c r="O97" s="719" t="s">
        <v>885</v>
      </c>
      <c r="P97" s="608">
        <v>1</v>
      </c>
      <c r="Q97" s="724">
        <f t="shared" ref="Q97" si="14">SUM(N97*P97)</f>
        <v>1599.9999999999659</v>
      </c>
      <c r="R97" s="373"/>
    </row>
    <row r="98" spans="1:18" s="343" customFormat="1" ht="15" customHeight="1" x14ac:dyDescent="0.2">
      <c r="A98" s="642" t="s">
        <v>1294</v>
      </c>
      <c r="B98" s="642" t="s">
        <v>1378</v>
      </c>
      <c r="C98" s="642" t="s">
        <v>1379</v>
      </c>
      <c r="D98" s="747">
        <v>41609</v>
      </c>
      <c r="E98" s="747" t="s">
        <v>78</v>
      </c>
      <c r="F98" s="748">
        <v>41547</v>
      </c>
      <c r="G98" s="642">
        <v>5</v>
      </c>
      <c r="H98" s="749">
        <v>41.46</v>
      </c>
      <c r="I98" s="668"/>
      <c r="J98" s="701">
        <v>41555</v>
      </c>
      <c r="K98" s="750">
        <v>40.5</v>
      </c>
      <c r="L98" s="751">
        <v>0.01</v>
      </c>
      <c r="M98" s="752">
        <v>6</v>
      </c>
      <c r="N98" s="753">
        <f>SUM((H98-K98)/L98*M98)*G98</f>
        <v>2880.0000000000023</v>
      </c>
      <c r="O98" s="747" t="s">
        <v>885</v>
      </c>
      <c r="P98" s="665">
        <v>1</v>
      </c>
      <c r="Q98" s="754">
        <f t="shared" ref="Q98:Q103" si="15">SUM(N98*P98)</f>
        <v>2880.0000000000023</v>
      </c>
      <c r="R98" s="283"/>
    </row>
    <row r="99" spans="1:18" s="337" customFormat="1" ht="15" customHeight="1" x14ac:dyDescent="0.2">
      <c r="A99" s="601" t="s">
        <v>992</v>
      </c>
      <c r="B99" s="601" t="s">
        <v>993</v>
      </c>
      <c r="C99" s="601" t="s">
        <v>1397</v>
      </c>
      <c r="D99" s="719">
        <v>41699</v>
      </c>
      <c r="E99" s="719" t="s">
        <v>53</v>
      </c>
      <c r="F99" s="617">
        <v>41555</v>
      </c>
      <c r="G99" s="601">
        <v>14</v>
      </c>
      <c r="H99" s="744">
        <v>18.63</v>
      </c>
      <c r="I99" s="609"/>
      <c r="J99" s="701">
        <v>41555</v>
      </c>
      <c r="K99" s="746">
        <v>18.489999999999998</v>
      </c>
      <c r="L99" s="721">
        <v>0.01</v>
      </c>
      <c r="M99" s="722">
        <v>11.2</v>
      </c>
      <c r="N99" s="723">
        <f>SUM((K99-H99)/L99*M99)*G99</f>
        <v>-2195.2000000000089</v>
      </c>
      <c r="O99" s="719" t="s">
        <v>885</v>
      </c>
      <c r="P99" s="608">
        <v>1</v>
      </c>
      <c r="Q99" s="724">
        <f t="shared" si="15"/>
        <v>-2195.2000000000089</v>
      </c>
      <c r="R99" s="373"/>
    </row>
    <row r="100" spans="1:18" s="337" customFormat="1" ht="15" customHeight="1" x14ac:dyDescent="0.2">
      <c r="A100" s="601" t="s">
        <v>1316</v>
      </c>
      <c r="B100" s="601" t="s">
        <v>49</v>
      </c>
      <c r="C100" s="601" t="s">
        <v>1398</v>
      </c>
      <c r="D100" s="719">
        <v>41548</v>
      </c>
      <c r="E100" s="719" t="s">
        <v>53</v>
      </c>
      <c r="F100" s="617">
        <v>41555</v>
      </c>
      <c r="G100" s="601">
        <v>2</v>
      </c>
      <c r="H100" s="744">
        <v>935.5</v>
      </c>
      <c r="I100" s="609"/>
      <c r="J100" s="701">
        <v>41556</v>
      </c>
      <c r="K100" s="746">
        <v>927.5</v>
      </c>
      <c r="L100" s="721">
        <v>0.25</v>
      </c>
      <c r="M100" s="722">
        <v>25</v>
      </c>
      <c r="N100" s="723">
        <f>SUM((K100-H100)/L100*M100)*G100</f>
        <v>-1600</v>
      </c>
      <c r="O100" s="719" t="s">
        <v>885</v>
      </c>
      <c r="P100" s="608">
        <v>1</v>
      </c>
      <c r="Q100" s="724">
        <f t="shared" si="15"/>
        <v>-1600</v>
      </c>
      <c r="R100" s="373"/>
    </row>
    <row r="101" spans="1:18" s="337" customFormat="1" ht="15" customHeight="1" x14ac:dyDescent="0.2">
      <c r="A101" s="601" t="s">
        <v>990</v>
      </c>
      <c r="B101" s="601" t="s">
        <v>738</v>
      </c>
      <c r="C101" s="601" t="s">
        <v>1387</v>
      </c>
      <c r="D101" s="719">
        <v>41579</v>
      </c>
      <c r="E101" s="719" t="s">
        <v>53</v>
      </c>
      <c r="F101" s="617">
        <v>41555</v>
      </c>
      <c r="G101" s="601">
        <v>4</v>
      </c>
      <c r="H101" s="744">
        <v>3.6779999999999999</v>
      </c>
      <c r="I101" s="609"/>
      <c r="J101" s="701">
        <v>41565</v>
      </c>
      <c r="K101" s="746">
        <v>3.8370000000000002</v>
      </c>
      <c r="L101" s="721">
        <v>1E-3</v>
      </c>
      <c r="M101" s="722">
        <v>10</v>
      </c>
      <c r="N101" s="723">
        <f>SUM((K101-H101)/L101*M101)*G101</f>
        <v>6360.00000000001</v>
      </c>
      <c r="O101" s="719" t="s">
        <v>885</v>
      </c>
      <c r="P101" s="608">
        <v>1</v>
      </c>
      <c r="Q101" s="724">
        <f t="shared" si="15"/>
        <v>6360.00000000001</v>
      </c>
      <c r="R101" s="373"/>
    </row>
    <row r="102" spans="1:18" s="337" customFormat="1" ht="15" customHeight="1" x14ac:dyDescent="0.2">
      <c r="A102" s="601" t="s">
        <v>48</v>
      </c>
      <c r="B102" s="601" t="s">
        <v>47</v>
      </c>
      <c r="C102" s="601" t="s">
        <v>1376</v>
      </c>
      <c r="D102" s="719">
        <v>41548</v>
      </c>
      <c r="E102" s="719" t="s">
        <v>53</v>
      </c>
      <c r="F102" s="617">
        <v>41557</v>
      </c>
      <c r="G102" s="601">
        <v>7</v>
      </c>
      <c r="H102" s="744">
        <v>166.97499999999999</v>
      </c>
      <c r="I102" s="609"/>
      <c r="J102" s="701">
        <v>41563</v>
      </c>
      <c r="K102" s="746">
        <v>167</v>
      </c>
      <c r="L102" s="721">
        <v>2.5000000000000001E-2</v>
      </c>
      <c r="M102" s="722">
        <v>12.5</v>
      </c>
      <c r="N102" s="723">
        <f>SUM((K102-H102)/L102*M102)*G102</f>
        <v>87.500000000019895</v>
      </c>
      <c r="O102" s="719" t="s">
        <v>885</v>
      </c>
      <c r="P102" s="608">
        <v>1</v>
      </c>
      <c r="Q102" s="724">
        <f t="shared" si="15"/>
        <v>87.500000000019895</v>
      </c>
      <c r="R102" s="373"/>
    </row>
    <row r="103" spans="1:18" s="337" customFormat="1" ht="15" customHeight="1" x14ac:dyDescent="0.2">
      <c r="A103" s="601" t="s">
        <v>63</v>
      </c>
      <c r="B103" s="601" t="s">
        <v>62</v>
      </c>
      <c r="C103" s="601" t="s">
        <v>1465</v>
      </c>
      <c r="D103" s="719">
        <v>41609</v>
      </c>
      <c r="E103" s="719" t="s">
        <v>53</v>
      </c>
      <c r="F103" s="617">
        <v>41575</v>
      </c>
      <c r="G103" s="601">
        <v>10</v>
      </c>
      <c r="H103" s="744">
        <v>90.56</v>
      </c>
      <c r="I103" s="609"/>
      <c r="J103" s="701">
        <v>41577</v>
      </c>
      <c r="K103" s="746">
        <v>89.9</v>
      </c>
      <c r="L103" s="721">
        <v>2.5000000000000001E-2</v>
      </c>
      <c r="M103" s="722">
        <v>10</v>
      </c>
      <c r="N103" s="723">
        <f>SUM((K103-H103)/L103*M103)*G103</f>
        <v>-2639.9999999999864</v>
      </c>
      <c r="O103" s="719" t="s">
        <v>885</v>
      </c>
      <c r="P103" s="608">
        <v>1</v>
      </c>
      <c r="Q103" s="724">
        <f t="shared" si="15"/>
        <v>-2639.9999999999864</v>
      </c>
      <c r="R103" s="373"/>
    </row>
    <row r="104" spans="1:18" s="343" customFormat="1" ht="15" customHeight="1" x14ac:dyDescent="0.2">
      <c r="A104" s="642" t="s">
        <v>990</v>
      </c>
      <c r="B104" s="642" t="s">
        <v>738</v>
      </c>
      <c r="C104" s="642" t="s">
        <v>1467</v>
      </c>
      <c r="D104" s="747">
        <v>41609</v>
      </c>
      <c r="E104" s="747" t="s">
        <v>78</v>
      </c>
      <c r="F104" s="748">
        <v>41579</v>
      </c>
      <c r="G104" s="642">
        <v>2</v>
      </c>
      <c r="H104" s="749">
        <v>3.5339999999999998</v>
      </c>
      <c r="I104" s="668"/>
      <c r="J104" s="656" t="s">
        <v>1471</v>
      </c>
      <c r="K104" s="750">
        <v>3.548</v>
      </c>
      <c r="L104" s="751">
        <v>1E-3</v>
      </c>
      <c r="M104" s="752">
        <v>10</v>
      </c>
      <c r="N104" s="753">
        <f>SUM((H104-K104)/L104*M104)*G104</f>
        <v>-280.00000000000466</v>
      </c>
      <c r="O104" s="747" t="s">
        <v>686</v>
      </c>
      <c r="P104" s="665">
        <v>1</v>
      </c>
      <c r="Q104" s="754">
        <f t="shared" ref="Q104:Q109" si="16">SUM(N104*P104)</f>
        <v>-280.00000000000466</v>
      </c>
      <c r="R104" s="283"/>
    </row>
    <row r="105" spans="1:18" s="343" customFormat="1" ht="15" customHeight="1" x14ac:dyDescent="0.2">
      <c r="A105" s="642" t="s">
        <v>1319</v>
      </c>
      <c r="B105" s="642" t="s">
        <v>1320</v>
      </c>
      <c r="C105" s="642" t="s">
        <v>1381</v>
      </c>
      <c r="D105" s="747">
        <v>41609</v>
      </c>
      <c r="E105" s="747" t="s">
        <v>78</v>
      </c>
      <c r="F105" s="748">
        <v>41583</v>
      </c>
      <c r="G105" s="642">
        <v>7</v>
      </c>
      <c r="H105" s="749">
        <v>424.5</v>
      </c>
      <c r="I105" s="668"/>
      <c r="J105" s="701">
        <v>41586</v>
      </c>
      <c r="K105" s="750">
        <v>426.6</v>
      </c>
      <c r="L105" s="751">
        <v>0.25</v>
      </c>
      <c r="M105" s="752">
        <v>12.5</v>
      </c>
      <c r="N105" s="753">
        <f>SUM((H105-K105)/L105*M105)*G105</f>
        <v>-735.00000000000796</v>
      </c>
      <c r="O105" s="747" t="s">
        <v>686</v>
      </c>
      <c r="P105" s="665">
        <v>1</v>
      </c>
      <c r="Q105" s="754">
        <f t="shared" si="16"/>
        <v>-735.00000000000796</v>
      </c>
      <c r="R105" s="283"/>
    </row>
    <row r="106" spans="1:18" s="337" customFormat="1" ht="15" customHeight="1" x14ac:dyDescent="0.2">
      <c r="A106" s="601" t="s">
        <v>386</v>
      </c>
      <c r="B106" s="601" t="s">
        <v>1071</v>
      </c>
      <c r="C106" s="601" t="s">
        <v>1373</v>
      </c>
      <c r="D106" s="719">
        <v>41609</v>
      </c>
      <c r="E106" s="719" t="s">
        <v>53</v>
      </c>
      <c r="F106" s="617">
        <v>41584</v>
      </c>
      <c r="G106" s="601">
        <v>3</v>
      </c>
      <c r="H106" s="744">
        <v>76.87</v>
      </c>
      <c r="I106" s="609"/>
      <c r="J106" s="701">
        <v>41586</v>
      </c>
      <c r="K106" s="746">
        <v>75.25</v>
      </c>
      <c r="L106" s="721">
        <v>0.01</v>
      </c>
      <c r="M106" s="722">
        <v>5</v>
      </c>
      <c r="N106" s="723">
        <f>SUM((K106-H106)/L106*M106)*G106</f>
        <v>-2430.0000000000068</v>
      </c>
      <c r="O106" s="719" t="s">
        <v>685</v>
      </c>
      <c r="P106" s="608">
        <v>1</v>
      </c>
      <c r="Q106" s="724">
        <f t="shared" si="16"/>
        <v>-2430.0000000000068</v>
      </c>
      <c r="R106" s="373"/>
    </row>
    <row r="107" spans="1:18" s="343" customFormat="1" ht="15" customHeight="1" x14ac:dyDescent="0.2">
      <c r="A107" s="642" t="s">
        <v>895</v>
      </c>
      <c r="B107" s="642" t="s">
        <v>361</v>
      </c>
      <c r="C107" s="642" t="s">
        <v>1454</v>
      </c>
      <c r="D107" s="747">
        <v>41609</v>
      </c>
      <c r="E107" s="747" t="s">
        <v>78</v>
      </c>
      <c r="F107" s="748">
        <v>41569</v>
      </c>
      <c r="G107" s="642">
        <v>4</v>
      </c>
      <c r="H107" s="749">
        <v>112.15</v>
      </c>
      <c r="I107" s="668"/>
      <c r="J107" s="656">
        <v>41589</v>
      </c>
      <c r="K107" s="750">
        <v>105.4</v>
      </c>
      <c r="L107" s="751">
        <v>0.05</v>
      </c>
      <c r="M107" s="752">
        <v>18.75</v>
      </c>
      <c r="N107" s="753">
        <f>SUM((H107-K107)/L107*M107)*G107</f>
        <v>10125</v>
      </c>
      <c r="O107" s="747" t="s">
        <v>885</v>
      </c>
      <c r="P107" s="665">
        <v>1</v>
      </c>
      <c r="Q107" s="754">
        <f t="shared" si="16"/>
        <v>10125</v>
      </c>
      <c r="R107" s="283"/>
    </row>
    <row r="108" spans="1:18" s="806" customFormat="1" ht="15" customHeight="1" x14ac:dyDescent="0.2">
      <c r="A108" s="793" t="s">
        <v>992</v>
      </c>
      <c r="B108" s="793" t="s">
        <v>1466</v>
      </c>
      <c r="C108" s="793" t="s">
        <v>1397</v>
      </c>
      <c r="D108" s="794">
        <v>41699</v>
      </c>
      <c r="E108" s="794" t="s">
        <v>78</v>
      </c>
      <c r="F108" s="795">
        <v>41577</v>
      </c>
      <c r="G108" s="793">
        <v>7</v>
      </c>
      <c r="H108" s="796">
        <v>18.63</v>
      </c>
      <c r="I108" s="797"/>
      <c r="J108" s="798">
        <v>41597</v>
      </c>
      <c r="K108" s="799">
        <v>17.82</v>
      </c>
      <c r="L108" s="800">
        <v>0.01</v>
      </c>
      <c r="M108" s="801">
        <v>11.2</v>
      </c>
      <c r="N108" s="802">
        <f>SUM((H108-K108)/L108*M108)*G108</f>
        <v>6350.3999999999887</v>
      </c>
      <c r="O108" s="794" t="s">
        <v>885</v>
      </c>
      <c r="P108" s="803">
        <v>1</v>
      </c>
      <c r="Q108" s="804">
        <f t="shared" si="16"/>
        <v>6350.3999999999887</v>
      </c>
      <c r="R108" s="805"/>
    </row>
    <row r="109" spans="1:18" s="337" customFormat="1" ht="15" customHeight="1" x14ac:dyDescent="0.2">
      <c r="A109" s="601" t="s">
        <v>84</v>
      </c>
      <c r="B109" s="601" t="s">
        <v>83</v>
      </c>
      <c r="C109" s="601" t="s">
        <v>1477</v>
      </c>
      <c r="D109" s="719">
        <v>41609</v>
      </c>
      <c r="E109" s="719" t="s">
        <v>53</v>
      </c>
      <c r="F109" s="617">
        <v>41592</v>
      </c>
      <c r="G109" s="601">
        <v>2</v>
      </c>
      <c r="H109" s="744">
        <v>292.58</v>
      </c>
      <c r="I109" s="609"/>
      <c r="J109" s="656">
        <v>41597</v>
      </c>
      <c r="K109" s="746">
        <v>290.2</v>
      </c>
      <c r="L109" s="721">
        <v>0.01</v>
      </c>
      <c r="M109" s="722">
        <v>4.2</v>
      </c>
      <c r="N109" s="723">
        <f>SUM((K109-H109)/L109*M109)*G109</f>
        <v>-1999.1999999999962</v>
      </c>
      <c r="O109" s="719" t="s">
        <v>685</v>
      </c>
      <c r="P109" s="608">
        <v>1</v>
      </c>
      <c r="Q109" s="724">
        <f t="shared" si="16"/>
        <v>-1999.1999999999962</v>
      </c>
      <c r="R109" s="373"/>
    </row>
    <row r="110" spans="1:18" s="337" customFormat="1" ht="15" customHeight="1" x14ac:dyDescent="0.2">
      <c r="A110" s="601"/>
      <c r="B110" s="601"/>
      <c r="C110" s="601"/>
      <c r="D110" s="719"/>
      <c r="E110" s="719"/>
      <c r="F110" s="617"/>
      <c r="G110" s="601"/>
      <c r="H110" s="744"/>
      <c r="I110" s="609"/>
      <c r="J110" s="656"/>
      <c r="K110" s="746"/>
      <c r="L110" s="721"/>
      <c r="M110" s="722"/>
      <c r="N110" s="723"/>
      <c r="O110" s="719"/>
      <c r="P110" s="608"/>
      <c r="Q110" s="724"/>
      <c r="R110" s="373"/>
    </row>
    <row r="111" spans="1:18" s="337" customFormat="1" ht="15" customHeight="1" x14ac:dyDescent="0.2">
      <c r="A111" s="601"/>
      <c r="B111" s="601"/>
      <c r="C111" s="601"/>
      <c r="D111" s="719"/>
      <c r="E111" s="719"/>
      <c r="F111" s="617"/>
      <c r="G111" s="601"/>
      <c r="H111" s="744"/>
      <c r="I111" s="609"/>
      <c r="J111" s="656"/>
      <c r="K111" s="746"/>
      <c r="L111" s="721"/>
      <c r="M111" s="722"/>
      <c r="N111" s="723"/>
      <c r="O111" s="719"/>
      <c r="P111" s="608"/>
      <c r="Q111" s="724"/>
      <c r="R111" s="373"/>
    </row>
    <row r="112" spans="1:18" s="337" customFormat="1" ht="15" customHeight="1" x14ac:dyDescent="0.2">
      <c r="A112" s="601"/>
      <c r="B112" s="601"/>
      <c r="C112" s="601"/>
      <c r="D112" s="719"/>
      <c r="E112" s="719"/>
      <c r="F112" s="617"/>
      <c r="G112" s="601"/>
      <c r="H112" s="744"/>
      <c r="I112" s="609"/>
      <c r="J112" s="656"/>
      <c r="K112" s="746"/>
      <c r="L112" s="721"/>
      <c r="M112" s="722"/>
      <c r="N112" s="723"/>
      <c r="O112" s="719"/>
      <c r="P112" s="608"/>
      <c r="Q112" s="724"/>
      <c r="R112" s="373"/>
    </row>
    <row r="113" spans="1:19" s="337" customFormat="1" ht="15" customHeight="1" x14ac:dyDescent="0.2">
      <c r="A113" s="601"/>
      <c r="B113" s="601"/>
      <c r="C113" s="601"/>
      <c r="D113" s="719"/>
      <c r="E113" s="719"/>
      <c r="F113" s="617"/>
      <c r="G113" s="601"/>
      <c r="H113" s="744"/>
      <c r="I113" s="609"/>
      <c r="J113" s="656"/>
      <c r="K113" s="746"/>
      <c r="L113" s="721"/>
      <c r="M113" s="722"/>
      <c r="N113" s="723"/>
      <c r="O113" s="719"/>
      <c r="P113" s="608"/>
      <c r="Q113" s="724"/>
      <c r="R113" s="373"/>
    </row>
    <row r="115" spans="1:19" s="14" customFormat="1" ht="16.5" thickBot="1" x14ac:dyDescent="0.3">
      <c r="A115" s="702" t="s">
        <v>39</v>
      </c>
      <c r="B115" s="702"/>
      <c r="C115" s="702"/>
      <c r="D115" s="787"/>
      <c r="E115" s="787"/>
      <c r="F115" s="702"/>
      <c r="G115" s="702"/>
      <c r="H115" s="788"/>
      <c r="I115" s="703"/>
      <c r="J115" s="704"/>
      <c r="K115" s="788"/>
      <c r="L115" s="789"/>
      <c r="M115" s="790"/>
      <c r="N115" s="791"/>
      <c r="O115" s="787"/>
      <c r="P115" s="705"/>
      <c r="Q115" s="792">
        <f>SUM(Q31:Q109)</f>
        <v>13413.840283491427</v>
      </c>
      <c r="R115" s="41"/>
      <c r="S115" s="3"/>
    </row>
    <row r="116" spans="1:19" ht="12.75" thickTop="1" x14ac:dyDescent="0.2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1"/>
  <sheetViews>
    <sheetView topLeftCell="A157" zoomScale="85" zoomScaleNormal="85" workbookViewId="0">
      <selection activeCell="H197" sqref="H197"/>
    </sheetView>
  </sheetViews>
  <sheetFormatPr defaultColWidth="8.85546875" defaultRowHeight="15" x14ac:dyDescent="0.2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1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2"/>
  </cols>
  <sheetData>
    <row r="2" spans="1:16" ht="18.75" x14ac:dyDescent="0.3">
      <c r="A2" s="33" t="s">
        <v>904</v>
      </c>
    </row>
    <row r="3" spans="1:16" ht="18.75" x14ac:dyDescent="0.3">
      <c r="A3" s="33"/>
    </row>
    <row r="4" spans="1:16" ht="19.5" thickBot="1" x14ac:dyDescent="0.35">
      <c r="A4" s="34">
        <f>O22+O200</f>
        <v>-14816.440556194404</v>
      </c>
      <c r="B4" s="7"/>
      <c r="C4" s="127"/>
      <c r="D4" s="6"/>
      <c r="E4" s="7"/>
      <c r="F4" s="248"/>
      <c r="G4" s="7"/>
      <c r="H4" s="391"/>
      <c r="I4" s="257"/>
      <c r="J4" s="92"/>
      <c r="K4" s="29"/>
      <c r="L4" s="107"/>
      <c r="M4" s="68"/>
      <c r="N4" s="175"/>
      <c r="O4" s="139"/>
      <c r="P4" s="12"/>
    </row>
    <row r="5" spans="1:16" ht="19.5" thickTop="1" x14ac:dyDescent="0.3">
      <c r="A5" s="137"/>
      <c r="B5" s="7"/>
      <c r="C5" s="68"/>
      <c r="D5" s="6"/>
      <c r="E5" s="7"/>
      <c r="F5" s="249"/>
      <c r="G5" s="7"/>
      <c r="H5" s="391"/>
      <c r="I5" s="257"/>
      <c r="J5" s="92"/>
      <c r="K5" s="29"/>
      <c r="L5" s="107"/>
      <c r="M5" s="68"/>
      <c r="N5" s="175"/>
      <c r="O5" s="139"/>
      <c r="P5" s="12"/>
    </row>
    <row r="6" spans="1:16" ht="18.75" x14ac:dyDescent="0.3">
      <c r="A6" s="206"/>
      <c r="B6" s="207"/>
      <c r="C6" s="226"/>
      <c r="D6" s="207"/>
      <c r="E6" s="208" t="s">
        <v>905</v>
      </c>
      <c r="F6" s="250"/>
      <c r="G6" s="207"/>
      <c r="H6" s="392"/>
      <c r="I6" s="258"/>
      <c r="J6" s="227"/>
      <c r="K6" s="228"/>
      <c r="L6" s="229">
        <f>SUM(O22)</f>
        <v>3924.3928890107054</v>
      </c>
      <c r="M6" s="226"/>
      <c r="N6" s="236"/>
      <c r="O6" s="230"/>
      <c r="P6" s="231"/>
    </row>
    <row r="7" spans="1:16" ht="15" customHeight="1" x14ac:dyDescent="0.25">
      <c r="A7" s="337"/>
      <c r="B7" s="337" t="s">
        <v>908</v>
      </c>
      <c r="C7" s="345"/>
      <c r="D7" s="337" t="s">
        <v>17</v>
      </c>
      <c r="E7" s="337" t="s">
        <v>41</v>
      </c>
      <c r="F7" s="368" t="s">
        <v>19</v>
      </c>
      <c r="G7" s="337"/>
      <c r="H7" s="369" t="s">
        <v>887</v>
      </c>
      <c r="I7" s="368" t="s">
        <v>681</v>
      </c>
      <c r="J7" s="93" t="s">
        <v>26</v>
      </c>
      <c r="K7" s="60" t="s">
        <v>1189</v>
      </c>
      <c r="L7" s="108" t="s">
        <v>682</v>
      </c>
      <c r="M7" s="345" t="s">
        <v>678</v>
      </c>
      <c r="N7" s="167" t="s">
        <v>10</v>
      </c>
      <c r="O7" s="140" t="s">
        <v>15</v>
      </c>
      <c r="P7" s="373" t="s">
        <v>4</v>
      </c>
    </row>
    <row r="8" spans="1:16" ht="15" customHeight="1" x14ac:dyDescent="0.25">
      <c r="A8" s="337"/>
      <c r="B8" s="337" t="s">
        <v>909</v>
      </c>
      <c r="C8" s="345" t="s">
        <v>181</v>
      </c>
      <c r="D8" s="337" t="s">
        <v>25</v>
      </c>
      <c r="E8" s="337"/>
      <c r="F8" s="368"/>
      <c r="G8" s="337"/>
      <c r="H8" s="369" t="s">
        <v>888</v>
      </c>
      <c r="I8" s="368" t="s">
        <v>18</v>
      </c>
      <c r="J8" s="93" t="s">
        <v>1043</v>
      </c>
      <c r="K8" s="60" t="s">
        <v>1307</v>
      </c>
      <c r="L8" s="108" t="s">
        <v>910</v>
      </c>
      <c r="M8" s="345" t="s">
        <v>680</v>
      </c>
      <c r="N8" s="167" t="s">
        <v>839</v>
      </c>
      <c r="O8" s="114" t="s">
        <v>885</v>
      </c>
      <c r="P8" s="373"/>
    </row>
    <row r="9" spans="1:16" ht="15" customHeight="1" x14ac:dyDescent="0.25">
      <c r="A9" s="337"/>
      <c r="B9" s="337"/>
      <c r="C9" s="345"/>
      <c r="D9" s="337"/>
      <c r="E9" s="337"/>
      <c r="F9" s="368"/>
      <c r="G9" s="337"/>
      <c r="H9" s="358"/>
      <c r="I9" s="368"/>
      <c r="J9" s="93"/>
      <c r="K9" s="60"/>
      <c r="L9" s="108"/>
      <c r="M9" s="345"/>
      <c r="N9" s="167" t="s">
        <v>19</v>
      </c>
      <c r="O9" s="140"/>
      <c r="P9" s="373"/>
    </row>
    <row r="10" spans="1:16" ht="15" customHeight="1" x14ac:dyDescent="0.25">
      <c r="A10" s="337" t="s">
        <v>944</v>
      </c>
      <c r="B10" s="337" t="s">
        <v>3</v>
      </c>
      <c r="C10" s="345" t="s">
        <v>53</v>
      </c>
      <c r="D10" s="369">
        <v>40544</v>
      </c>
      <c r="E10" s="337">
        <v>1</v>
      </c>
      <c r="F10" s="93">
        <v>1</v>
      </c>
      <c r="G10" s="366"/>
      <c r="H10" s="319"/>
      <c r="I10" s="362">
        <v>1</v>
      </c>
      <c r="J10" s="324">
        <f>SUM(I10-F10)*10000</f>
        <v>0</v>
      </c>
      <c r="K10" s="32">
        <f>SUM(100000/N10)/10000</f>
        <v>10</v>
      </c>
      <c r="L10" s="349" t="e">
        <f>SUM((I10-F10)/J10*K10)*E10</f>
        <v>#DIV/0!</v>
      </c>
      <c r="M10" s="345" t="s">
        <v>885</v>
      </c>
      <c r="N10" s="356">
        <v>1</v>
      </c>
      <c r="O10" s="350">
        <f>SUM(J10*K10)/N10</f>
        <v>0</v>
      </c>
      <c r="P10" s="373"/>
    </row>
    <row r="11" spans="1:16" ht="15" customHeight="1" x14ac:dyDescent="0.25">
      <c r="A11" s="343" t="s">
        <v>945</v>
      </c>
      <c r="B11" s="343" t="s">
        <v>3</v>
      </c>
      <c r="C11" s="352" t="s">
        <v>78</v>
      </c>
      <c r="D11" s="282">
        <v>40544</v>
      </c>
      <c r="E11" s="343">
        <v>1</v>
      </c>
      <c r="F11" s="323">
        <v>1</v>
      </c>
      <c r="G11" s="370"/>
      <c r="H11" s="319"/>
      <c r="I11" s="354">
        <v>1</v>
      </c>
      <c r="J11" s="324">
        <f>SUM(F11-I11)*10000</f>
        <v>0</v>
      </c>
      <c r="K11" s="329">
        <f t="shared" ref="K11" si="0">SUM(100000/N11)/10000</f>
        <v>10</v>
      </c>
      <c r="L11" s="351" t="e">
        <f>SUM((F11-I11)/J11*K11)*E11</f>
        <v>#DIV/0!</v>
      </c>
      <c r="M11" s="352" t="s">
        <v>885</v>
      </c>
      <c r="N11" s="357">
        <v>1</v>
      </c>
      <c r="O11" s="350">
        <f>SUM(J11*K11)/N11</f>
        <v>0</v>
      </c>
      <c r="P11" s="283"/>
    </row>
    <row r="13" spans="1:16" ht="15" customHeight="1" x14ac:dyDescent="0.25">
      <c r="A13" s="343" t="s">
        <v>1153</v>
      </c>
      <c r="B13" s="343" t="s">
        <v>3</v>
      </c>
      <c r="C13" s="352" t="s">
        <v>78</v>
      </c>
      <c r="D13" s="282">
        <v>41599</v>
      </c>
      <c r="E13" s="343">
        <v>1</v>
      </c>
      <c r="F13" s="323">
        <v>0.9798</v>
      </c>
      <c r="G13" s="370"/>
      <c r="H13" s="319"/>
      <c r="I13" s="354">
        <v>0.96379999999999999</v>
      </c>
      <c r="J13" s="324">
        <f t="shared" ref="J13:J15" si="1">SUM(F13-I13)*10000</f>
        <v>160.00000000000014</v>
      </c>
      <c r="K13" s="329">
        <f t="shared" ref="K13:K15" si="2">SUM(100000/N13)/10000</f>
        <v>9.5111280197831469</v>
      </c>
      <c r="L13" s="351">
        <f t="shared" ref="L13:L15" si="3">SUM((F13-I13)/J13*K13)*E13</f>
        <v>9.5111280197831475E-4</v>
      </c>
      <c r="M13" s="352" t="s">
        <v>885</v>
      </c>
      <c r="N13" s="357">
        <v>1.0513999999999999</v>
      </c>
      <c r="O13" s="350">
        <f t="shared" ref="O13:O15" si="4">SUM(J13*K13)/N13</f>
        <v>1447.3848993392667</v>
      </c>
      <c r="P13" s="283"/>
    </row>
    <row r="14" spans="1:16" ht="15" customHeight="1" x14ac:dyDescent="0.25">
      <c r="A14" s="343" t="s">
        <v>1130</v>
      </c>
      <c r="B14" s="343" t="s">
        <v>3</v>
      </c>
      <c r="C14" s="352" t="s">
        <v>78</v>
      </c>
      <c r="D14" s="282">
        <v>41599</v>
      </c>
      <c r="E14" s="343">
        <v>1</v>
      </c>
      <c r="F14" s="323">
        <v>1.1677</v>
      </c>
      <c r="G14" s="370"/>
      <c r="H14" s="319"/>
      <c r="I14" s="354">
        <v>1.1448</v>
      </c>
      <c r="J14" s="324">
        <f t="shared" si="1"/>
        <v>228.9999999999992</v>
      </c>
      <c r="K14" s="329">
        <f t="shared" si="2"/>
        <v>8.0038418440851604</v>
      </c>
      <c r="L14" s="351">
        <f t="shared" si="3"/>
        <v>8.0038418440851603E-4</v>
      </c>
      <c r="M14" s="352" t="s">
        <v>885</v>
      </c>
      <c r="N14" s="357">
        <v>1.2494000000000001</v>
      </c>
      <c r="O14" s="350">
        <f t="shared" si="4"/>
        <v>1467.0079896714385</v>
      </c>
      <c r="P14" s="283"/>
    </row>
    <row r="15" spans="1:16" ht="15" customHeight="1" x14ac:dyDescent="0.25">
      <c r="A15" s="343" t="s">
        <v>1069</v>
      </c>
      <c r="B15" s="343" t="s">
        <v>3</v>
      </c>
      <c r="C15" s="352" t="s">
        <v>78</v>
      </c>
      <c r="D15" s="282">
        <v>41599</v>
      </c>
      <c r="E15" s="343">
        <v>1</v>
      </c>
      <c r="F15" s="323">
        <v>0.92649999999999999</v>
      </c>
      <c r="G15" s="370"/>
      <c r="H15" s="319"/>
      <c r="I15" s="354">
        <v>0.91639999999999999</v>
      </c>
      <c r="J15" s="324">
        <f t="shared" si="1"/>
        <v>100.99999999999997</v>
      </c>
      <c r="K15" s="329">
        <f t="shared" si="2"/>
        <v>10</v>
      </c>
      <c r="L15" s="351">
        <f t="shared" si="3"/>
        <v>1E-3</v>
      </c>
      <c r="M15" s="352" t="s">
        <v>885</v>
      </c>
      <c r="N15" s="357">
        <v>1</v>
      </c>
      <c r="O15" s="350">
        <f t="shared" si="4"/>
        <v>1009.9999999999998</v>
      </c>
      <c r="P15" s="283"/>
    </row>
    <row r="18" spans="1:16" ht="15" customHeight="1" x14ac:dyDescent="0.25">
      <c r="A18" s="337"/>
      <c r="B18" s="337"/>
      <c r="C18" s="345"/>
      <c r="D18" s="369"/>
      <c r="E18" s="337"/>
      <c r="F18" s="93"/>
      <c r="G18" s="366"/>
      <c r="H18" s="319"/>
      <c r="I18" s="362"/>
      <c r="J18" s="324"/>
      <c r="K18" s="32"/>
      <c r="L18" s="349"/>
      <c r="M18" s="345"/>
      <c r="N18" s="356"/>
      <c r="O18" s="350"/>
      <c r="P18" s="373"/>
    </row>
    <row r="19" spans="1:16" ht="15" customHeight="1" x14ac:dyDescent="0.25">
      <c r="A19" s="337" t="s">
        <v>944</v>
      </c>
      <c r="B19" s="337" t="s">
        <v>3</v>
      </c>
      <c r="C19" s="345" t="s">
        <v>53</v>
      </c>
      <c r="D19" s="369">
        <v>41585</v>
      </c>
      <c r="E19" s="337">
        <v>1</v>
      </c>
      <c r="F19" s="93">
        <v>1</v>
      </c>
      <c r="G19" s="366"/>
      <c r="H19" s="319"/>
      <c r="I19" s="362">
        <v>1</v>
      </c>
      <c r="J19" s="324">
        <f>SUM(I19-F19)*10000</f>
        <v>0</v>
      </c>
      <c r="K19" s="32">
        <f>SUM(100000/N19)/10000</f>
        <v>10</v>
      </c>
      <c r="L19" s="349" t="e">
        <f>SUM((I19-F19)/J19*K19)*E19</f>
        <v>#DIV/0!</v>
      </c>
      <c r="M19" s="345" t="s">
        <v>885</v>
      </c>
      <c r="N19" s="356">
        <v>1</v>
      </c>
      <c r="O19" s="350">
        <f>SUM(J19*K19)/N19</f>
        <v>0</v>
      </c>
      <c r="P19" s="373"/>
    </row>
    <row r="20" spans="1:16" ht="15" customHeight="1" x14ac:dyDescent="0.25">
      <c r="A20" s="337"/>
      <c r="B20" s="337"/>
      <c r="C20" s="345"/>
      <c r="D20" s="369"/>
      <c r="E20" s="337"/>
      <c r="F20" s="93"/>
      <c r="G20" s="366"/>
      <c r="H20" s="597"/>
      <c r="I20" s="362"/>
      <c r="J20" s="324"/>
      <c r="K20" s="32"/>
      <c r="L20" s="349"/>
      <c r="M20" s="345"/>
      <c r="N20" s="356"/>
      <c r="O20" s="350"/>
      <c r="P20" s="373"/>
    </row>
    <row r="21" spans="1:16" ht="15" customHeight="1" x14ac:dyDescent="0.25">
      <c r="A21" s="337"/>
      <c r="B21" s="337"/>
      <c r="C21" s="345"/>
      <c r="D21" s="369"/>
      <c r="E21" s="337"/>
      <c r="F21" s="93"/>
      <c r="G21" s="366"/>
      <c r="H21" s="319"/>
      <c r="I21" s="362"/>
      <c r="J21" s="324"/>
      <c r="K21" s="32"/>
      <c r="L21" s="349"/>
      <c r="M21" s="345"/>
      <c r="N21" s="356"/>
      <c r="O21" s="350"/>
      <c r="P21" s="373"/>
    </row>
    <row r="22" spans="1:16" ht="15" customHeight="1" thickBot="1" x14ac:dyDescent="0.3">
      <c r="A22" s="35" t="s">
        <v>1287</v>
      </c>
      <c r="B22" s="35"/>
      <c r="C22" s="72"/>
      <c r="D22" s="35"/>
      <c r="E22" s="35"/>
      <c r="F22" s="252"/>
      <c r="G22" s="37"/>
      <c r="H22" s="393"/>
      <c r="I22" s="252"/>
      <c r="J22" s="96"/>
      <c r="K22" s="36"/>
      <c r="L22" s="110"/>
      <c r="M22" s="72"/>
      <c r="N22" s="170"/>
      <c r="O22" s="240">
        <f>SUM(O12:O21)</f>
        <v>3924.3928890107054</v>
      </c>
      <c r="P22" s="37"/>
    </row>
    <row r="23" spans="1:16" ht="15" customHeight="1" thickTop="1" x14ac:dyDescent="0.25">
      <c r="A23" s="48"/>
      <c r="B23" s="48"/>
      <c r="C23" s="73"/>
      <c r="D23" s="48"/>
      <c r="E23" s="48"/>
      <c r="F23" s="253"/>
      <c r="G23" s="50"/>
      <c r="H23" s="390"/>
      <c r="I23" s="253"/>
      <c r="J23" s="97"/>
      <c r="K23" s="49"/>
      <c r="L23" s="111"/>
      <c r="M23" s="73"/>
      <c r="N23" s="171"/>
      <c r="O23" s="142"/>
      <c r="P23" s="50"/>
    </row>
    <row r="24" spans="1:16" ht="15" customHeight="1" x14ac:dyDescent="0.25">
      <c r="A24" s="43"/>
      <c r="B24" s="43"/>
      <c r="C24" s="136"/>
      <c r="D24" s="44"/>
      <c r="E24" s="43"/>
      <c r="F24" s="254"/>
      <c r="G24" s="44"/>
      <c r="H24" s="394"/>
      <c r="I24" s="254"/>
      <c r="J24" s="98"/>
      <c r="K24" s="45"/>
      <c r="L24" s="112"/>
      <c r="M24" s="74"/>
      <c r="N24" s="172"/>
      <c r="O24" s="143"/>
      <c r="P24" s="44"/>
    </row>
    <row r="25" spans="1:16" ht="15" customHeight="1" x14ac:dyDescent="0.25">
      <c r="A25" s="43"/>
      <c r="B25" s="43"/>
      <c r="C25" s="136"/>
      <c r="D25" s="43"/>
      <c r="E25" s="43"/>
      <c r="F25" s="254"/>
      <c r="G25" s="43"/>
      <c r="H25" s="394"/>
      <c r="I25" s="254"/>
      <c r="J25" s="98"/>
      <c r="K25" s="45"/>
      <c r="L25" s="112"/>
      <c r="M25" s="74"/>
      <c r="N25" s="172"/>
      <c r="O25" s="143"/>
      <c r="P25" s="44"/>
    </row>
    <row r="26" spans="1:16" x14ac:dyDescent="0.25">
      <c r="A26" s="10"/>
      <c r="B26" s="10"/>
      <c r="C26" s="71"/>
      <c r="D26" s="10"/>
      <c r="E26" s="10"/>
      <c r="F26" s="251"/>
      <c r="G26" s="10"/>
      <c r="H26" s="147"/>
      <c r="I26" s="251"/>
      <c r="J26" s="94"/>
      <c r="K26" s="31"/>
      <c r="L26" s="109"/>
      <c r="M26" s="70"/>
      <c r="N26" s="169"/>
      <c r="O26" s="141"/>
      <c r="P26" s="9"/>
    </row>
    <row r="27" spans="1:16" ht="18.75" x14ac:dyDescent="0.3">
      <c r="A27" s="203"/>
      <c r="B27" s="204"/>
      <c r="C27" s="222"/>
      <c r="D27" s="204"/>
      <c r="E27" s="204" t="s">
        <v>906</v>
      </c>
      <c r="F27" s="255"/>
      <c r="G27" s="204"/>
      <c r="H27" s="395"/>
      <c r="I27" s="255"/>
      <c r="J27" s="223"/>
      <c r="K27" s="224"/>
      <c r="L27" s="238">
        <f>O200</f>
        <v>-18740.833445205109</v>
      </c>
      <c r="M27" s="222"/>
      <c r="N27" s="233"/>
      <c r="O27" s="225"/>
      <c r="P27" s="204"/>
    </row>
    <row r="28" spans="1:16" x14ac:dyDescent="0.25">
      <c r="A28" s="374"/>
      <c r="B28" s="374"/>
      <c r="C28" s="345"/>
      <c r="D28" s="374"/>
      <c r="E28" s="374"/>
      <c r="F28" s="244"/>
      <c r="G28" s="374"/>
      <c r="I28" s="244"/>
      <c r="J28" s="362"/>
      <c r="K28" s="32"/>
      <c r="L28" s="349"/>
      <c r="M28" s="348"/>
      <c r="N28" s="356"/>
      <c r="O28" s="350"/>
      <c r="P28" s="344" t="s">
        <v>3</v>
      </c>
    </row>
    <row r="30" spans="1:16" x14ac:dyDescent="0.25">
      <c r="A30" s="337"/>
      <c r="B30" s="337" t="s">
        <v>678</v>
      </c>
      <c r="C30" s="345"/>
      <c r="D30" s="337" t="s">
        <v>17</v>
      </c>
      <c r="E30" s="337" t="s">
        <v>41</v>
      </c>
      <c r="F30" s="368" t="s">
        <v>19</v>
      </c>
      <c r="G30" s="337"/>
      <c r="H30" s="369" t="s">
        <v>29</v>
      </c>
      <c r="I30" s="368" t="s">
        <v>681</v>
      </c>
      <c r="J30" s="93" t="s">
        <v>5</v>
      </c>
      <c r="K30" s="60" t="s">
        <v>1189</v>
      </c>
      <c r="L30" s="108" t="s">
        <v>682</v>
      </c>
      <c r="M30" s="345" t="s">
        <v>678</v>
      </c>
      <c r="N30" s="167" t="s">
        <v>10</v>
      </c>
      <c r="O30" s="114" t="s">
        <v>15</v>
      </c>
      <c r="P30" s="373" t="s">
        <v>1288</v>
      </c>
    </row>
    <row r="31" spans="1:16" x14ac:dyDescent="0.25">
      <c r="A31" s="337"/>
      <c r="B31" s="337" t="s">
        <v>0</v>
      </c>
      <c r="C31" s="345" t="s">
        <v>181</v>
      </c>
      <c r="D31" s="337" t="s">
        <v>25</v>
      </c>
      <c r="E31" s="337"/>
      <c r="F31" s="368"/>
      <c r="G31" s="337"/>
      <c r="H31" s="369" t="s">
        <v>7</v>
      </c>
      <c r="I31" s="368" t="s">
        <v>18</v>
      </c>
      <c r="J31" s="93"/>
      <c r="K31" s="60" t="s">
        <v>1307</v>
      </c>
      <c r="L31" s="108" t="s">
        <v>683</v>
      </c>
      <c r="M31" s="345" t="s">
        <v>680</v>
      </c>
      <c r="N31" s="167" t="s">
        <v>14</v>
      </c>
      <c r="O31" s="114" t="s">
        <v>885</v>
      </c>
      <c r="P31" s="373"/>
    </row>
    <row r="32" spans="1:16" ht="15" customHeight="1" x14ac:dyDescent="0.25">
      <c r="A32" s="374"/>
      <c r="B32" s="374"/>
      <c r="C32" s="345"/>
      <c r="D32" s="358"/>
      <c r="E32" s="374"/>
      <c r="F32" s="244"/>
      <c r="G32" s="366"/>
      <c r="I32" s="244"/>
      <c r="J32" s="362"/>
      <c r="K32" s="32"/>
      <c r="L32" s="349"/>
      <c r="M32" s="348"/>
      <c r="N32" s="356"/>
      <c r="O32" s="350"/>
      <c r="P32" s="344"/>
    </row>
    <row r="33" spans="1:16" ht="15" customHeight="1" x14ac:dyDescent="0.25">
      <c r="A33" s="337"/>
      <c r="B33" s="337"/>
      <c r="C33" s="345"/>
      <c r="D33" s="369"/>
      <c r="E33" s="337"/>
      <c r="F33" s="368"/>
      <c r="G33" s="366"/>
      <c r="H33" s="319"/>
      <c r="I33" s="244"/>
      <c r="J33" s="322"/>
      <c r="K33" s="32"/>
      <c r="L33" s="349"/>
      <c r="M33" s="345"/>
      <c r="N33" s="356"/>
      <c r="O33" s="350"/>
      <c r="P33" s="373"/>
    </row>
    <row r="34" spans="1:16" s="326" customFormat="1" x14ac:dyDescent="0.25">
      <c r="A34" s="343" t="s">
        <v>1156</v>
      </c>
      <c r="B34" s="343" t="s">
        <v>3</v>
      </c>
      <c r="C34" s="352" t="s">
        <v>78</v>
      </c>
      <c r="D34" s="282">
        <v>41325</v>
      </c>
      <c r="E34" s="343">
        <v>1</v>
      </c>
      <c r="F34" s="323">
        <v>1.4903</v>
      </c>
      <c r="G34" s="370"/>
      <c r="H34" s="358">
        <v>41361</v>
      </c>
      <c r="I34" s="354">
        <f>1/0.6854</f>
        <v>1.4590020426028596</v>
      </c>
      <c r="J34" s="324">
        <f>SUM(F34-I34)*10000</f>
        <v>312.97957397140362</v>
      </c>
      <c r="K34" s="329">
        <f t="shared" ref="K34" si="5">SUM(100000/N34)/10000</f>
        <v>10.442</v>
      </c>
      <c r="L34" s="351">
        <f>SUM((F34-I34)/J34*K34)*E34</f>
        <v>1.0442000000000001E-3</v>
      </c>
      <c r="M34" s="345" t="s">
        <v>885</v>
      </c>
      <c r="N34" s="357">
        <f>1/1.0442</f>
        <v>0.95767094426355104</v>
      </c>
      <c r="O34" s="350">
        <f t="shared" ref="O34:O37" si="6">SUM(J34*K34)/N34</f>
        <v>3412.5841772536919</v>
      </c>
      <c r="P34" s="283"/>
    </row>
    <row r="35" spans="1:16" x14ac:dyDescent="0.25">
      <c r="A35" s="337" t="s">
        <v>1040</v>
      </c>
      <c r="B35" s="337" t="s">
        <v>3</v>
      </c>
      <c r="C35" s="345" t="s">
        <v>53</v>
      </c>
      <c r="D35" s="369">
        <v>41325</v>
      </c>
      <c r="E35" s="337">
        <v>1</v>
      </c>
      <c r="F35" s="93">
        <v>0.87450000000000006</v>
      </c>
      <c r="G35" s="366"/>
      <c r="H35" s="319">
        <v>41326</v>
      </c>
      <c r="I35" s="362">
        <v>0.86419999999999997</v>
      </c>
      <c r="J35" s="324">
        <f>SUM(I35-F35)*10000</f>
        <v>-103.00000000000087</v>
      </c>
      <c r="K35" s="32">
        <f>SUM(100000/N35)/10000</f>
        <v>15.2326</v>
      </c>
      <c r="L35" s="349">
        <f>SUM((I35-F35)/J35*K35)*E35</f>
        <v>1.52326E-3</v>
      </c>
      <c r="M35" s="345" t="s">
        <v>885</v>
      </c>
      <c r="N35" s="356">
        <f>1/1.52326</f>
        <v>0.65648674553260766</v>
      </c>
      <c r="O35" s="350">
        <f t="shared" si="6"/>
        <v>-2389.9306584280203</v>
      </c>
      <c r="P35" s="283"/>
    </row>
    <row r="36" spans="1:16" x14ac:dyDescent="0.25">
      <c r="A36" s="343" t="s">
        <v>1042</v>
      </c>
      <c r="B36" s="343" t="s">
        <v>3</v>
      </c>
      <c r="C36" s="352" t="s">
        <v>78</v>
      </c>
      <c r="D36" s="282">
        <v>41325</v>
      </c>
      <c r="E36" s="343">
        <v>1</v>
      </c>
      <c r="F36" s="323">
        <v>1.4133</v>
      </c>
      <c r="G36" s="370"/>
      <c r="H36" s="319">
        <v>41326</v>
      </c>
      <c r="I36" s="354">
        <v>1.4228000000000001</v>
      </c>
      <c r="J36" s="324">
        <f>SUM(F36-I36)*10000</f>
        <v>-95.000000000000639</v>
      </c>
      <c r="K36" s="329">
        <f t="shared" ref="K36:K45" si="7">SUM(100000/N36)/10000</f>
        <v>10.789348754909154</v>
      </c>
      <c r="L36" s="351">
        <f>SUM((F36-I36)/J36*K36)*E36</f>
        <v>1.0789348754909154E-3</v>
      </c>
      <c r="M36" s="345" t="s">
        <v>885</v>
      </c>
      <c r="N36" s="357">
        <v>0.92684</v>
      </c>
      <c r="O36" s="350">
        <f t="shared" si="6"/>
        <v>-1105.8954422730747</v>
      </c>
      <c r="P36" s="283"/>
    </row>
    <row r="37" spans="1:16" s="396" customFormat="1" x14ac:dyDescent="0.25">
      <c r="A37" s="337" t="s">
        <v>1041</v>
      </c>
      <c r="B37" s="337" t="s">
        <v>3</v>
      </c>
      <c r="C37" s="345" t="s">
        <v>53</v>
      </c>
      <c r="D37" s="369">
        <v>41325</v>
      </c>
      <c r="E37" s="337">
        <v>1</v>
      </c>
      <c r="F37" s="93">
        <v>1.0124</v>
      </c>
      <c r="G37" s="366"/>
      <c r="H37" s="319">
        <v>41347</v>
      </c>
      <c r="I37" s="362">
        <v>1.0230999999999999</v>
      </c>
      <c r="J37" s="324">
        <f>SUM(I37-F37)*10000</f>
        <v>106.99999999999932</v>
      </c>
      <c r="K37" s="32">
        <f t="shared" si="7"/>
        <v>9.4517958412098295</v>
      </c>
      <c r="L37" s="349">
        <f>SUM((I37-F37)/J37*K37)*E37</f>
        <v>9.4517958412098301E-4</v>
      </c>
      <c r="M37" s="345" t="s">
        <v>885</v>
      </c>
      <c r="N37" s="356">
        <v>1.0580000000000001</v>
      </c>
      <c r="O37" s="350">
        <f t="shared" si="6"/>
        <v>955.89995747584612</v>
      </c>
      <c r="P37" s="283"/>
    </row>
    <row r="38" spans="1:16" s="407" customFormat="1" x14ac:dyDescent="0.25">
      <c r="A38" s="281" t="s">
        <v>1156</v>
      </c>
      <c r="B38" s="281" t="s">
        <v>3</v>
      </c>
      <c r="C38" s="316" t="s">
        <v>78</v>
      </c>
      <c r="D38" s="397">
        <v>41330</v>
      </c>
      <c r="E38" s="281">
        <v>1</v>
      </c>
      <c r="F38" s="398">
        <v>1.4632000000000001</v>
      </c>
      <c r="G38" s="399"/>
      <c r="H38" s="400">
        <v>41359</v>
      </c>
      <c r="I38" s="401">
        <v>1.4782999999999999</v>
      </c>
      <c r="J38" s="402">
        <f>SUM(F38-I38)*10000</f>
        <v>-150.99999999999892</v>
      </c>
      <c r="K38" s="403">
        <f t="shared" si="7"/>
        <v>10.4634</v>
      </c>
      <c r="L38" s="404">
        <f>SUM((F38-I38)/J38*K38)*E38</f>
        <v>1.04634E-3</v>
      </c>
      <c r="M38" s="345" t="s">
        <v>885</v>
      </c>
      <c r="N38" s="405">
        <f>1/1.04634</f>
        <v>0.95571229237150446</v>
      </c>
      <c r="O38" s="406">
        <f>SUM(J38*K38)/N38</f>
        <v>-1653.1893673559882</v>
      </c>
      <c r="P38" s="283"/>
    </row>
    <row r="39" spans="1:16" x14ac:dyDescent="0.25">
      <c r="A39" s="343" t="s">
        <v>1045</v>
      </c>
      <c r="B39" s="343" t="s">
        <v>3</v>
      </c>
      <c r="C39" s="352" t="s">
        <v>78</v>
      </c>
      <c r="D39" s="282">
        <v>41331</v>
      </c>
      <c r="E39" s="343">
        <v>1</v>
      </c>
      <c r="F39" s="323">
        <v>1.3083</v>
      </c>
      <c r="G39" s="370"/>
      <c r="H39" s="358">
        <v>41368</v>
      </c>
      <c r="I39" s="354">
        <v>1.2877000000000001</v>
      </c>
      <c r="J39" s="324">
        <f>SUM(F39-I39)*10000</f>
        <v>205.99999999999952</v>
      </c>
      <c r="K39" s="329">
        <f t="shared" si="7"/>
        <v>10</v>
      </c>
      <c r="L39" s="351">
        <f>SUM((F39-I39)/J39*K39)*E39</f>
        <v>1E-3</v>
      </c>
      <c r="M39" s="345" t="s">
        <v>885</v>
      </c>
      <c r="N39" s="357">
        <v>1</v>
      </c>
      <c r="O39" s="350">
        <f>SUM(J39*K39)/N39</f>
        <v>2059.999999999995</v>
      </c>
      <c r="P39" s="283"/>
    </row>
    <row r="40" spans="1:16" s="407" customFormat="1" x14ac:dyDescent="0.25">
      <c r="A40" s="337" t="s">
        <v>1070</v>
      </c>
      <c r="B40" s="337" t="s">
        <v>3</v>
      </c>
      <c r="C40" s="345" t="s">
        <v>53</v>
      </c>
      <c r="D40" s="369">
        <v>41337</v>
      </c>
      <c r="E40" s="337">
        <v>1</v>
      </c>
      <c r="F40" s="93">
        <v>1.2471000000000001</v>
      </c>
      <c r="G40" s="366"/>
      <c r="H40" s="319">
        <v>41358</v>
      </c>
      <c r="I40" s="362">
        <v>1.2466999999999999</v>
      </c>
      <c r="J40" s="324">
        <f>SUM(I40-F40)*10000</f>
        <v>-4.0000000000017799</v>
      </c>
      <c r="K40" s="32">
        <f t="shared" si="7"/>
        <v>12.466999999999999</v>
      </c>
      <c r="L40" s="349">
        <f>SUM((I40-F40)/J40*K40)*E40</f>
        <v>1.2466999999999999E-3</v>
      </c>
      <c r="M40" s="345" t="s">
        <v>885</v>
      </c>
      <c r="N40" s="356">
        <f>1/I40</f>
        <v>0.80211759043875841</v>
      </c>
      <c r="O40" s="350">
        <f t="shared" ref="O40" si="8">SUM(J40*K40)/N40</f>
        <v>-62.170435600027652</v>
      </c>
      <c r="P40" s="283"/>
    </row>
    <row r="41" spans="1:16" s="407" customFormat="1" x14ac:dyDescent="0.25">
      <c r="A41" s="343" t="s">
        <v>1069</v>
      </c>
      <c r="B41" s="343" t="s">
        <v>3</v>
      </c>
      <c r="C41" s="352" t="s">
        <v>78</v>
      </c>
      <c r="D41" s="282">
        <v>41337</v>
      </c>
      <c r="E41" s="343">
        <v>1</v>
      </c>
      <c r="F41" s="323">
        <v>1.0129999999999999</v>
      </c>
      <c r="G41" s="370"/>
      <c r="H41" s="358">
        <v>41337</v>
      </c>
      <c r="I41" s="354">
        <v>1.0175000000000001</v>
      </c>
      <c r="J41" s="324">
        <f>SUM(F41-I41)*10000</f>
        <v>-45.000000000001705</v>
      </c>
      <c r="K41" s="329">
        <f t="shared" si="7"/>
        <v>10</v>
      </c>
      <c r="L41" s="351">
        <f>SUM((F41-I41)/J41*K41)*E41</f>
        <v>1E-3</v>
      </c>
      <c r="M41" s="345" t="s">
        <v>885</v>
      </c>
      <c r="N41" s="357">
        <v>1</v>
      </c>
      <c r="O41" s="350">
        <f>SUM(J41*K41)/N41</f>
        <v>-450.00000000001705</v>
      </c>
      <c r="P41" s="283"/>
    </row>
    <row r="42" spans="1:16" x14ac:dyDescent="0.25">
      <c r="A42" s="337" t="s">
        <v>1130</v>
      </c>
      <c r="B42" s="337" t="s">
        <v>3</v>
      </c>
      <c r="C42" s="345" t="s">
        <v>53</v>
      </c>
      <c r="D42" s="369">
        <v>41354</v>
      </c>
      <c r="E42" s="337">
        <v>1</v>
      </c>
      <c r="F42" s="93">
        <v>1.3022</v>
      </c>
      <c r="G42" s="366"/>
      <c r="H42" s="319">
        <v>41361</v>
      </c>
      <c r="I42" s="362">
        <v>1.2943</v>
      </c>
      <c r="J42" s="324">
        <f>SUM(I42-F42)*10000</f>
        <v>-79.000000000000185</v>
      </c>
      <c r="K42" s="32">
        <f t="shared" si="7"/>
        <v>8.0493262713910845</v>
      </c>
      <c r="L42" s="349">
        <f>SUM((I42-F42)/J42*K42)*E42</f>
        <v>8.049326271391084E-4</v>
      </c>
      <c r="M42" s="345" t="s">
        <v>885</v>
      </c>
      <c r="N42" s="356">
        <v>1.24234</v>
      </c>
      <c r="O42" s="350">
        <f t="shared" ref="O42" si="9">SUM(J42*K42)/N42</f>
        <v>-511.85406204412413</v>
      </c>
      <c r="P42" s="283"/>
    </row>
    <row r="43" spans="1:16" x14ac:dyDescent="0.25">
      <c r="A43" s="343" t="s">
        <v>1129</v>
      </c>
      <c r="B43" s="343" t="s">
        <v>3</v>
      </c>
      <c r="C43" s="352" t="s">
        <v>78</v>
      </c>
      <c r="D43" s="282">
        <v>41359</v>
      </c>
      <c r="E43" s="343">
        <v>1</v>
      </c>
      <c r="F43" s="323">
        <v>1.2266999999999999</v>
      </c>
      <c r="G43" s="370"/>
      <c r="H43" s="358">
        <v>41368</v>
      </c>
      <c r="I43" s="354">
        <v>1.2329000000000001</v>
      </c>
      <c r="J43" s="324">
        <f>SUM(F43-I43)*10000</f>
        <v>-62.000000000002053</v>
      </c>
      <c r="K43" s="329">
        <f t="shared" si="7"/>
        <v>10.460100000000001</v>
      </c>
      <c r="L43" s="351">
        <f>SUM((F43-I43)/J43*K43)*E43</f>
        <v>1.0460100000000002E-3</v>
      </c>
      <c r="M43" s="345" t="s">
        <v>885</v>
      </c>
      <c r="N43" s="357">
        <f>1/1.04601</f>
        <v>0.95601380483934173</v>
      </c>
      <c r="O43" s="350">
        <f>SUM(J43*K43)/N43</f>
        <v>-678.36489046202257</v>
      </c>
      <c r="P43" s="283"/>
    </row>
    <row r="44" spans="1:16" x14ac:dyDescent="0.25">
      <c r="A44" s="343" t="s">
        <v>1151</v>
      </c>
      <c r="B44" s="343" t="s">
        <v>3</v>
      </c>
      <c r="C44" s="352" t="s">
        <v>78</v>
      </c>
      <c r="D44" s="282">
        <v>41367</v>
      </c>
      <c r="E44" s="343">
        <v>1</v>
      </c>
      <c r="F44" s="323">
        <v>1.30084</v>
      </c>
      <c r="G44" s="370"/>
      <c r="H44" s="358">
        <v>41368</v>
      </c>
      <c r="I44" s="354">
        <v>1.3083</v>
      </c>
      <c r="J44" s="324">
        <f>SUM(F44-I44)*10000</f>
        <v>-74.600000000000222</v>
      </c>
      <c r="K44" s="329">
        <f t="shared" si="7"/>
        <v>9.8585300931631092</v>
      </c>
      <c r="L44" s="351">
        <f>SUM((F44-I44)/J44*K44)*E44</f>
        <v>9.8585300931631104E-4</v>
      </c>
      <c r="M44" s="345" t="s">
        <v>885</v>
      </c>
      <c r="N44" s="357">
        <v>1.0143500000000001</v>
      </c>
      <c r="O44" s="350">
        <f>SUM(J44*K44)/N44</f>
        <v>-725.04199235960971</v>
      </c>
      <c r="P44" s="373"/>
    </row>
    <row r="45" spans="1:16" x14ac:dyDescent="0.25">
      <c r="A45" s="343" t="s">
        <v>1042</v>
      </c>
      <c r="B45" s="343" t="s">
        <v>3</v>
      </c>
      <c r="C45" s="352" t="s">
        <v>78</v>
      </c>
      <c r="D45" s="282">
        <v>41367</v>
      </c>
      <c r="E45" s="343">
        <v>1</v>
      </c>
      <c r="F45" s="323">
        <v>1.43296</v>
      </c>
      <c r="G45" s="370"/>
      <c r="H45" s="358">
        <v>41375</v>
      </c>
      <c r="I45" s="354">
        <v>1.4301999999999999</v>
      </c>
      <c r="J45" s="324">
        <f>SUM(F45-I45)*10000</f>
        <v>27.600000000000957</v>
      </c>
      <c r="K45" s="329">
        <f t="shared" si="7"/>
        <v>10.723860589812332</v>
      </c>
      <c r="L45" s="351">
        <f>SUM((F45-I45)/J45*K45)*E45</f>
        <v>1.0723860589812334E-3</v>
      </c>
      <c r="M45" s="345" t="s">
        <v>885</v>
      </c>
      <c r="N45" s="357">
        <v>0.9325</v>
      </c>
      <c r="O45" s="350">
        <f>SUM(J45*K45)/N45</f>
        <v>317.40327322126609</v>
      </c>
      <c r="P45" s="283"/>
    </row>
    <row r="46" spans="1:16" x14ac:dyDescent="0.25">
      <c r="A46" s="281" t="s">
        <v>1152</v>
      </c>
      <c r="B46" s="281" t="s">
        <v>3</v>
      </c>
      <c r="C46" s="316" t="s">
        <v>78</v>
      </c>
      <c r="D46" s="397">
        <v>41368</v>
      </c>
      <c r="E46" s="281">
        <v>1</v>
      </c>
      <c r="F46" s="398">
        <v>78.296000000000006</v>
      </c>
      <c r="G46" s="399"/>
      <c r="H46" s="400">
        <v>41368</v>
      </c>
      <c r="I46" s="401">
        <v>78.968000000000004</v>
      </c>
      <c r="J46" s="402">
        <f>SUM(F46-I46)*10000</f>
        <v>-6719.9999999999709</v>
      </c>
      <c r="K46" s="403">
        <f>SUM(100000/N46)/100</f>
        <v>10.749105136997343</v>
      </c>
      <c r="L46" s="404">
        <f>SUM((F46-I46)/J46*K46)*E46</f>
        <v>1.0749105136997343E-3</v>
      </c>
      <c r="M46" s="345" t="s">
        <v>885</v>
      </c>
      <c r="N46" s="405">
        <v>93.031000000000006</v>
      </c>
      <c r="O46" s="406">
        <f>SUM(J46*K46)/N46</f>
        <v>-776.45071557461313</v>
      </c>
      <c r="P46" s="373"/>
    </row>
    <row r="47" spans="1:16" x14ac:dyDescent="0.25">
      <c r="A47" s="337" t="s">
        <v>1153</v>
      </c>
      <c r="B47" s="337" t="s">
        <v>3</v>
      </c>
      <c r="C47" s="345" t="s">
        <v>53</v>
      </c>
      <c r="D47" s="369">
        <v>41373</v>
      </c>
      <c r="E47" s="337">
        <v>1</v>
      </c>
      <c r="F47" s="93">
        <v>1.0581</v>
      </c>
      <c r="G47" s="366"/>
      <c r="H47" s="358">
        <v>41376</v>
      </c>
      <c r="I47" s="362">
        <v>1.0637000000000001</v>
      </c>
      <c r="J47" s="324">
        <f>SUM(I47-F47)*10000</f>
        <v>56.000000000000497</v>
      </c>
      <c r="K47" s="32">
        <f t="shared" ref="K47:K65" si="10">SUM(100000/N47)/10000</f>
        <v>9.8998138834989913</v>
      </c>
      <c r="L47" s="349">
        <f>SUM((I47-F47)/J47*K47)*E47</f>
        <v>9.8998138834989913E-4</v>
      </c>
      <c r="M47" s="345" t="s">
        <v>885</v>
      </c>
      <c r="N47" s="356">
        <v>1.0101199999999999</v>
      </c>
      <c r="O47" s="350">
        <f t="shared" ref="O47:O51" si="11">SUM(J47*K47)/N47</f>
        <v>548.83536359635332</v>
      </c>
      <c r="P47" s="283"/>
    </row>
    <row r="48" spans="1:16" x14ac:dyDescent="0.25">
      <c r="A48" s="337" t="s">
        <v>1130</v>
      </c>
      <c r="B48" s="337" t="s">
        <v>3</v>
      </c>
      <c r="C48" s="345" t="s">
        <v>53</v>
      </c>
      <c r="D48" s="369">
        <v>41373</v>
      </c>
      <c r="E48" s="337">
        <v>1</v>
      </c>
      <c r="F48" s="93">
        <v>1.2936399999999999</v>
      </c>
      <c r="G48" s="366"/>
      <c r="H48" s="358">
        <v>41376</v>
      </c>
      <c r="I48" s="362">
        <v>1.2998000000000001</v>
      </c>
      <c r="J48" s="324">
        <f>SUM(I48-F48)*10000</f>
        <v>61.600000000001657</v>
      </c>
      <c r="K48" s="32">
        <f t="shared" si="10"/>
        <v>8.0851201448853534</v>
      </c>
      <c r="L48" s="349">
        <f>SUM((I48-F48)/J48*K48)*E48</f>
        <v>8.0851201448853532E-4</v>
      </c>
      <c r="M48" s="345" t="s">
        <v>885</v>
      </c>
      <c r="N48" s="356">
        <v>1.2368399999999999</v>
      </c>
      <c r="O48" s="350">
        <f t="shared" si="11"/>
        <v>402.67407338455354</v>
      </c>
      <c r="P48" s="283"/>
    </row>
    <row r="49" spans="1:16" s="326" customFormat="1" x14ac:dyDescent="0.25">
      <c r="A49" s="337" t="s">
        <v>1069</v>
      </c>
      <c r="B49" s="337" t="s">
        <v>3</v>
      </c>
      <c r="C49" s="345" t="s">
        <v>53</v>
      </c>
      <c r="D49" s="369">
        <v>41373</v>
      </c>
      <c r="E49" s="337">
        <v>1</v>
      </c>
      <c r="F49" s="93">
        <v>1.0411699999999999</v>
      </c>
      <c r="G49" s="366"/>
      <c r="H49" s="358">
        <v>41376</v>
      </c>
      <c r="I49" s="362">
        <v>1.0497000000000001</v>
      </c>
      <c r="J49" s="324">
        <f>SUM(I49-F49)*10000</f>
        <v>85.300000000001489</v>
      </c>
      <c r="K49" s="32">
        <f t="shared" si="10"/>
        <v>10</v>
      </c>
      <c r="L49" s="349">
        <f>SUM((I49-F49)/J49*K49)*E49</f>
        <v>1E-3</v>
      </c>
      <c r="M49" s="345" t="s">
        <v>885</v>
      </c>
      <c r="N49" s="356">
        <v>1</v>
      </c>
      <c r="O49" s="350">
        <f t="shared" si="11"/>
        <v>853.00000000001489</v>
      </c>
      <c r="P49" s="283"/>
    </row>
    <row r="50" spans="1:16" ht="15" customHeight="1" x14ac:dyDescent="0.25">
      <c r="A50" s="337" t="s">
        <v>1154</v>
      </c>
      <c r="B50" s="337" t="s">
        <v>3</v>
      </c>
      <c r="C50" s="345" t="s">
        <v>53</v>
      </c>
      <c r="D50" s="369">
        <v>41373</v>
      </c>
      <c r="E50" s="337">
        <v>1</v>
      </c>
      <c r="F50" s="93">
        <v>1.2167699999999999</v>
      </c>
      <c r="G50" s="366"/>
      <c r="H50" s="358">
        <v>41376</v>
      </c>
      <c r="I50" s="362">
        <v>1.2179</v>
      </c>
      <c r="J50" s="324">
        <f>SUM(I50-F50)*10000</f>
        <v>11.300000000000754</v>
      </c>
      <c r="K50" s="32">
        <f t="shared" si="10"/>
        <v>10.745639956587613</v>
      </c>
      <c r="L50" s="349">
        <f>SUM((I50-F50)/J50*K50)*E50</f>
        <v>1.0745639956587613E-3</v>
      </c>
      <c r="M50" s="345" t="s">
        <v>885</v>
      </c>
      <c r="N50" s="356">
        <v>0.93061000000000005</v>
      </c>
      <c r="O50" s="350">
        <f t="shared" si="11"/>
        <v>130.47971922658056</v>
      </c>
      <c r="P50" s="283"/>
    </row>
    <row r="51" spans="1:16" ht="15" customHeight="1" x14ac:dyDescent="0.25">
      <c r="A51" s="337" t="s">
        <v>1155</v>
      </c>
      <c r="B51" s="337" t="s">
        <v>3</v>
      </c>
      <c r="C51" s="345" t="s">
        <v>53</v>
      </c>
      <c r="D51" s="369">
        <v>41374</v>
      </c>
      <c r="E51" s="337">
        <v>1</v>
      </c>
      <c r="F51" s="93">
        <v>0.97777000000000003</v>
      </c>
      <c r="G51" s="366"/>
      <c r="H51" s="358">
        <v>41376</v>
      </c>
      <c r="I51" s="362">
        <v>0.97970000000000002</v>
      </c>
      <c r="J51" s="324">
        <f>SUM(I51-F51)*10000</f>
        <v>19.299999999999873</v>
      </c>
      <c r="K51" s="32">
        <f t="shared" si="10"/>
        <v>10.745639956587613</v>
      </c>
      <c r="L51" s="349">
        <f>SUM((I51-F51)/J51*K51)*E51</f>
        <v>1.0745639956587613E-3</v>
      </c>
      <c r="M51" s="345" t="s">
        <v>885</v>
      </c>
      <c r="N51" s="356">
        <v>0.93061000000000005</v>
      </c>
      <c r="O51" s="350">
        <f t="shared" si="11"/>
        <v>222.85474168786018</v>
      </c>
      <c r="P51" s="283"/>
    </row>
    <row r="52" spans="1:16" ht="15" customHeight="1" x14ac:dyDescent="0.25">
      <c r="A52" s="343" t="s">
        <v>1156</v>
      </c>
      <c r="B52" s="343" t="s">
        <v>3</v>
      </c>
      <c r="C52" s="352" t="s">
        <v>78</v>
      </c>
      <c r="D52" s="282">
        <v>41374</v>
      </c>
      <c r="E52" s="343">
        <v>1</v>
      </c>
      <c r="F52" s="323">
        <v>1.4605399999999999</v>
      </c>
      <c r="G52" s="370"/>
      <c r="H52" s="358">
        <v>41376</v>
      </c>
      <c r="I52" s="354">
        <v>1.4588399999999999</v>
      </c>
      <c r="J52" s="324">
        <f>SUM(F52-I52)*10000</f>
        <v>17.000000000000348</v>
      </c>
      <c r="K52" s="329">
        <f t="shared" si="10"/>
        <v>10.543200000000001</v>
      </c>
      <c r="L52" s="351">
        <f>SUM((F52-I52)/J52*K52)*E52</f>
        <v>1.0543200000000001E-3</v>
      </c>
      <c r="M52" s="345" t="s">
        <v>885</v>
      </c>
      <c r="N52" s="357">
        <f>1/1.05432</f>
        <v>0.94847864026102136</v>
      </c>
      <c r="O52" s="350">
        <f>SUM(J52*K52)/N52</f>
        <v>188.97041260800387</v>
      </c>
      <c r="P52" s="283"/>
    </row>
    <row r="53" spans="1:16" ht="15" customHeight="1" x14ac:dyDescent="0.25">
      <c r="A53" s="343" t="s">
        <v>1041</v>
      </c>
      <c r="B53" s="343" t="s">
        <v>3</v>
      </c>
      <c r="C53" s="352" t="s">
        <v>78</v>
      </c>
      <c r="D53" s="282">
        <v>41374</v>
      </c>
      <c r="E53" s="343">
        <v>1</v>
      </c>
      <c r="F53" s="323">
        <v>1.0161199999999999</v>
      </c>
      <c r="G53" s="370"/>
      <c r="H53" s="358">
        <v>41379</v>
      </c>
      <c r="I53" s="354">
        <v>1.0143</v>
      </c>
      <c r="J53" s="324">
        <f>SUM(F53-I53)*10000</f>
        <v>18.199999999999328</v>
      </c>
      <c r="K53" s="329">
        <f t="shared" si="10"/>
        <v>9.8590160701961942</v>
      </c>
      <c r="L53" s="351">
        <f>SUM((F53-I53)/J53*K53)*E53</f>
        <v>9.8590160701961943E-4</v>
      </c>
      <c r="M53" s="345" t="s">
        <v>885</v>
      </c>
      <c r="N53" s="357">
        <f>I53</f>
        <v>1.0143</v>
      </c>
      <c r="O53" s="350">
        <f>SUM(J53*K53)/N53</f>
        <v>176.90436012773748</v>
      </c>
      <c r="P53" s="283"/>
    </row>
    <row r="54" spans="1:16" ht="15" customHeight="1" x14ac:dyDescent="0.25">
      <c r="A54" s="343" t="s">
        <v>1129</v>
      </c>
      <c r="B54" s="343" t="s">
        <v>3</v>
      </c>
      <c r="C54" s="352" t="s">
        <v>78</v>
      </c>
      <c r="D54" s="282">
        <v>41375</v>
      </c>
      <c r="E54" s="343">
        <v>1</v>
      </c>
      <c r="F54" s="323">
        <v>1.2397100000000001</v>
      </c>
      <c r="G54" s="370"/>
      <c r="H54" s="358">
        <v>41376</v>
      </c>
      <c r="I54" s="354">
        <v>1.2446999999999999</v>
      </c>
      <c r="J54" s="324">
        <f>SUM(F54-I54)*10000</f>
        <v>-49.899999999998279</v>
      </c>
      <c r="K54" s="329">
        <f t="shared" si="10"/>
        <v>10.543200000000001</v>
      </c>
      <c r="L54" s="351">
        <f>SUM((F54-I54)/J54*K54)*E54</f>
        <v>1.0543200000000001E-3</v>
      </c>
      <c r="M54" s="345" t="s">
        <v>885</v>
      </c>
      <c r="N54" s="357">
        <f>1/1.05432</f>
        <v>0.94847864026102136</v>
      </c>
      <c r="O54" s="350">
        <f>SUM(J54*K54)/N54</f>
        <v>-554.68374053758089</v>
      </c>
      <c r="P54" s="283"/>
    </row>
    <row r="55" spans="1:16" ht="15" customHeight="1" x14ac:dyDescent="0.25">
      <c r="A55" s="343" t="s">
        <v>1151</v>
      </c>
      <c r="B55" s="343" t="s">
        <v>3</v>
      </c>
      <c r="C55" s="352" t="s">
        <v>78</v>
      </c>
      <c r="D55" s="282">
        <v>41376</v>
      </c>
      <c r="E55" s="343">
        <v>1</v>
      </c>
      <c r="F55" s="323">
        <v>1.32338</v>
      </c>
      <c r="G55" s="370"/>
      <c r="H55" s="358">
        <v>41379</v>
      </c>
      <c r="I55" s="354">
        <v>1.3309</v>
      </c>
      <c r="J55" s="324">
        <f>SUM(F55-I55)*10000</f>
        <v>-75.199999999999704</v>
      </c>
      <c r="K55" s="329">
        <f t="shared" si="10"/>
        <v>9.8605715187252247</v>
      </c>
      <c r="L55" s="351">
        <f>SUM((F55-I55)/J55*K55)*E55</f>
        <v>9.8605715187252262E-4</v>
      </c>
      <c r="M55" s="345" t="s">
        <v>885</v>
      </c>
      <c r="N55" s="357">
        <v>1.01414</v>
      </c>
      <c r="O55" s="350">
        <f>SUM(J55*K55)/N55</f>
        <v>-731.1761474827282</v>
      </c>
      <c r="P55" s="283"/>
    </row>
    <row r="56" spans="1:16" ht="15" customHeight="1" x14ac:dyDescent="0.25">
      <c r="A56" s="343" t="s">
        <v>1040</v>
      </c>
      <c r="B56" s="343" t="s">
        <v>3</v>
      </c>
      <c r="C56" s="352" t="s">
        <v>78</v>
      </c>
      <c r="D56" s="282">
        <v>41376</v>
      </c>
      <c r="E56" s="343">
        <v>1</v>
      </c>
      <c r="F56" s="323">
        <v>0.85133000000000003</v>
      </c>
      <c r="G56" s="370"/>
      <c r="H56" s="358">
        <v>41379</v>
      </c>
      <c r="I56" s="354">
        <v>0.8548</v>
      </c>
      <c r="J56" s="324">
        <f>SUM(F56-I56)*10000</f>
        <v>-34.699999999999733</v>
      </c>
      <c r="K56" s="329">
        <f t="shared" si="10"/>
        <v>15.34</v>
      </c>
      <c r="L56" s="351">
        <f>SUM((F56-I56)/J56*K56)*E56</f>
        <v>1.5339999999999998E-3</v>
      </c>
      <c r="M56" s="345" t="s">
        <v>885</v>
      </c>
      <c r="N56" s="357">
        <f>1/1.534</f>
        <v>0.65189048239895697</v>
      </c>
      <c r="O56" s="350">
        <f>SUM(J56*K56)/N56</f>
        <v>-816.54513199999371</v>
      </c>
      <c r="P56" s="283"/>
    </row>
    <row r="57" spans="1:16" s="326" customFormat="1" ht="15" customHeight="1" x14ac:dyDescent="0.25">
      <c r="A57" s="337" t="s">
        <v>1156</v>
      </c>
      <c r="B57" s="337" t="s">
        <v>3</v>
      </c>
      <c r="C57" s="345" t="s">
        <v>53</v>
      </c>
      <c r="D57" s="369">
        <v>41376</v>
      </c>
      <c r="E57" s="337">
        <v>1</v>
      </c>
      <c r="F57" s="93">
        <v>1.45902</v>
      </c>
      <c r="G57" s="366"/>
      <c r="H57" s="358">
        <v>41381</v>
      </c>
      <c r="I57" s="362">
        <v>1.4741</v>
      </c>
      <c r="J57" s="324">
        <f>SUM(I57-F57)*10000</f>
        <v>150.79999999999981</v>
      </c>
      <c r="K57" s="32">
        <f t="shared" si="10"/>
        <v>10.388900000000001</v>
      </c>
      <c r="L57" s="349">
        <f>SUM((I57-F57)/J57*K57)*E57</f>
        <v>1.0388900000000002E-3</v>
      </c>
      <c r="M57" s="345" t="s">
        <v>885</v>
      </c>
      <c r="N57" s="356">
        <f>1/1.03889</f>
        <v>0.96256581543763042</v>
      </c>
      <c r="O57" s="350">
        <f t="shared" ref="O57:O58" si="12">SUM(J57*K57)/N57</f>
        <v>1627.5729876067985</v>
      </c>
      <c r="P57" s="283"/>
    </row>
    <row r="58" spans="1:16" ht="15" customHeight="1" x14ac:dyDescent="0.25">
      <c r="A58" s="337" t="s">
        <v>1042</v>
      </c>
      <c r="B58" s="337" t="s">
        <v>3</v>
      </c>
      <c r="C58" s="345" t="s">
        <v>53</v>
      </c>
      <c r="D58" s="369">
        <v>41376</v>
      </c>
      <c r="E58" s="337">
        <v>1</v>
      </c>
      <c r="F58" s="93">
        <v>1.43211</v>
      </c>
      <c r="G58" s="366"/>
      <c r="H58" s="358">
        <v>41376</v>
      </c>
      <c r="I58" s="362">
        <v>1.4236</v>
      </c>
      <c r="J58" s="324">
        <f>SUM(I58-F58)*10000</f>
        <v>-85.100000000000179</v>
      </c>
      <c r="K58" s="32">
        <f t="shared" si="10"/>
        <v>10.745639956587613</v>
      </c>
      <c r="L58" s="349">
        <f>SUM((I58-F58)/J58*K58)*E58</f>
        <v>1.0745639956587613E-3</v>
      </c>
      <c r="M58" s="345" t="s">
        <v>885</v>
      </c>
      <c r="N58" s="356">
        <v>0.93061000000000005</v>
      </c>
      <c r="O58" s="350">
        <f t="shared" si="12"/>
        <v>-982.63930143197229</v>
      </c>
      <c r="P58" s="283"/>
    </row>
    <row r="59" spans="1:16" ht="15" customHeight="1" x14ac:dyDescent="0.25">
      <c r="A59" s="281" t="s">
        <v>1040</v>
      </c>
      <c r="B59" s="281" t="s">
        <v>3</v>
      </c>
      <c r="C59" s="316" t="s">
        <v>78</v>
      </c>
      <c r="D59" s="397">
        <v>41376</v>
      </c>
      <c r="E59" s="281">
        <v>1</v>
      </c>
      <c r="F59" s="398">
        <v>0.85145999999999999</v>
      </c>
      <c r="G59" s="399"/>
      <c r="H59" s="400">
        <v>41380</v>
      </c>
      <c r="I59" s="401">
        <f>1/1.1693</f>
        <v>0.85521252031129735</v>
      </c>
      <c r="J59" s="402">
        <f>SUM(F59-I59)*10000</f>
        <v>-37.525203112973585</v>
      </c>
      <c r="K59" s="403">
        <f t="shared" si="10"/>
        <v>15.217000000000001</v>
      </c>
      <c r="L59" s="404">
        <f>SUM((F59-I59)/J59*K59)*E59</f>
        <v>1.5217E-3</v>
      </c>
      <c r="M59" s="345" t="s">
        <v>885</v>
      </c>
      <c r="N59" s="405">
        <f>1/1.5217</f>
        <v>0.65715975553657091</v>
      </c>
      <c r="O59" s="406">
        <f>SUM(J59*K59)/N59</f>
        <v>-868.92267969739032</v>
      </c>
      <c r="P59" s="283"/>
    </row>
    <row r="60" spans="1:16" ht="15" customHeight="1" x14ac:dyDescent="0.25">
      <c r="A60" s="343" t="s">
        <v>1045</v>
      </c>
      <c r="B60" s="343" t="s">
        <v>3</v>
      </c>
      <c r="C60" s="352" t="s">
        <v>78</v>
      </c>
      <c r="D60" s="282">
        <v>41380</v>
      </c>
      <c r="E60" s="343">
        <v>1</v>
      </c>
      <c r="F60" s="323">
        <v>1.30339</v>
      </c>
      <c r="G60" s="370"/>
      <c r="H60" s="358">
        <v>41380</v>
      </c>
      <c r="I60" s="354">
        <v>1.3137799999999999</v>
      </c>
      <c r="J60" s="324">
        <f>SUM(F60-I60)*10000</f>
        <v>-103.899999999999</v>
      </c>
      <c r="K60" s="329">
        <f t="shared" si="10"/>
        <v>10</v>
      </c>
      <c r="L60" s="351">
        <f>SUM((F60-I60)/J60*K60)*E60</f>
        <v>1E-3</v>
      </c>
      <c r="M60" s="345" t="s">
        <v>885</v>
      </c>
      <c r="N60" s="357">
        <v>1</v>
      </c>
      <c r="O60" s="350">
        <f>SUM(J60*K60)/N60</f>
        <v>-1038.99999999999</v>
      </c>
      <c r="P60" s="283"/>
    </row>
    <row r="61" spans="1:16" s="326" customFormat="1" ht="15" customHeight="1" x14ac:dyDescent="0.25">
      <c r="A61" s="343" t="s">
        <v>1042</v>
      </c>
      <c r="B61" s="343" t="s">
        <v>3</v>
      </c>
      <c r="C61" s="352" t="s">
        <v>78</v>
      </c>
      <c r="D61" s="282">
        <v>41380</v>
      </c>
      <c r="E61" s="343">
        <v>1</v>
      </c>
      <c r="F61" s="323">
        <v>1.4231799999999999</v>
      </c>
      <c r="G61" s="370"/>
      <c r="H61" s="358">
        <v>41382</v>
      </c>
      <c r="I61" s="354">
        <v>1.4222999999999999</v>
      </c>
      <c r="J61" s="324">
        <f>SUM(F61-I61)*10000</f>
        <v>8.799999999999919</v>
      </c>
      <c r="K61" s="329">
        <f t="shared" si="10"/>
        <v>10.722480753147048</v>
      </c>
      <c r="L61" s="351">
        <f>SUM((F61-I61)/J61*K61)*E61</f>
        <v>1.0722480753147048E-3</v>
      </c>
      <c r="M61" s="345" t="s">
        <v>885</v>
      </c>
      <c r="N61" s="357">
        <v>0.93262</v>
      </c>
      <c r="O61" s="350">
        <f>SUM(J61*K61)/N61</f>
        <v>101.17500228141488</v>
      </c>
      <c r="P61" s="283"/>
    </row>
    <row r="62" spans="1:16" s="326" customFormat="1" ht="15" customHeight="1" x14ac:dyDescent="0.25">
      <c r="A62" s="343" t="s">
        <v>1157</v>
      </c>
      <c r="B62" s="343" t="s">
        <v>3</v>
      </c>
      <c r="C62" s="352" t="s">
        <v>78</v>
      </c>
      <c r="D62" s="282">
        <v>41380</v>
      </c>
      <c r="E62" s="343">
        <v>1</v>
      </c>
      <c r="F62" s="323">
        <v>1.5282500000000001</v>
      </c>
      <c r="G62" s="370"/>
      <c r="H62" s="358">
        <v>41389</v>
      </c>
      <c r="I62" s="354">
        <v>1.5363</v>
      </c>
      <c r="J62" s="324">
        <f>SUM(F62-I62)*10000</f>
        <v>-80.499999999998906</v>
      </c>
      <c r="K62" s="329">
        <f t="shared" si="10"/>
        <v>10</v>
      </c>
      <c r="L62" s="351">
        <f>SUM((F62-I62)/J62*K62)*E62</f>
        <v>1E-3</v>
      </c>
      <c r="M62" s="345" t="s">
        <v>885</v>
      </c>
      <c r="N62" s="357">
        <v>1</v>
      </c>
      <c r="O62" s="350">
        <f>SUM(J62*K62)/N62</f>
        <v>-804.99999999998909</v>
      </c>
      <c r="P62" s="283"/>
    </row>
    <row r="63" spans="1:16" ht="15" customHeight="1" x14ac:dyDescent="0.25">
      <c r="A63" s="337" t="s">
        <v>1070</v>
      </c>
      <c r="B63" s="337" t="s">
        <v>3</v>
      </c>
      <c r="C63" s="345" t="s">
        <v>53</v>
      </c>
      <c r="D63" s="369">
        <v>41380</v>
      </c>
      <c r="E63" s="337">
        <v>1</v>
      </c>
      <c r="F63" s="93">
        <v>1.2388699999999999</v>
      </c>
      <c r="G63" s="366"/>
      <c r="H63" s="358">
        <v>41380</v>
      </c>
      <c r="I63" s="362">
        <v>1.2349399999999999</v>
      </c>
      <c r="J63" s="324">
        <f>SUM(I63-F63)*10000</f>
        <v>-39.299999999999891</v>
      </c>
      <c r="K63" s="32">
        <f t="shared" si="10"/>
        <v>8.097559395598168</v>
      </c>
      <c r="L63" s="349">
        <f>SUM((I63-F63)/J63*K63)*E63</f>
        <v>8.0975593955981689E-4</v>
      </c>
      <c r="M63" s="345" t="s">
        <v>885</v>
      </c>
      <c r="N63" s="356">
        <f>I63</f>
        <v>1.2349399999999999</v>
      </c>
      <c r="O63" s="350">
        <f t="shared" ref="O63:O66" si="13">SUM(J63*K63)/N63</f>
        <v>-257.6919398893931</v>
      </c>
      <c r="P63" s="283"/>
    </row>
    <row r="64" spans="1:16" s="326" customFormat="1" ht="15" customHeight="1" x14ac:dyDescent="0.25">
      <c r="A64" s="337" t="s">
        <v>1159</v>
      </c>
      <c r="B64" s="337" t="s">
        <v>3</v>
      </c>
      <c r="C64" s="345" t="s">
        <v>53</v>
      </c>
      <c r="D64" s="369">
        <v>41383</v>
      </c>
      <c r="E64" s="337">
        <v>1</v>
      </c>
      <c r="F64" s="93">
        <v>1.22444</v>
      </c>
      <c r="G64" s="366"/>
      <c r="H64" s="358">
        <v>41386</v>
      </c>
      <c r="I64" s="362">
        <v>1.2175</v>
      </c>
      <c r="J64" s="324">
        <f>SUM(I64-F64)*10000</f>
        <v>-69.399999999999466</v>
      </c>
      <c r="K64" s="32">
        <f t="shared" si="10"/>
        <v>8.3983000000000008</v>
      </c>
      <c r="L64" s="349">
        <f>SUM((I64-F64)/J64*K64)*E64</f>
        <v>8.3982999999999996E-4</v>
      </c>
      <c r="M64" s="345" t="s">
        <v>885</v>
      </c>
      <c r="N64" s="356">
        <f>1/0.83983</f>
        <v>1.1907171689508591</v>
      </c>
      <c r="O64" s="350">
        <f t="shared" si="13"/>
        <v>-489.48821365659632</v>
      </c>
      <c r="P64" s="283"/>
    </row>
    <row r="65" spans="1:16" ht="15" customHeight="1" x14ac:dyDescent="0.25">
      <c r="A65" s="337" t="s">
        <v>1160</v>
      </c>
      <c r="B65" s="337" t="s">
        <v>3</v>
      </c>
      <c r="C65" s="345" t="s">
        <v>53</v>
      </c>
      <c r="D65" s="369">
        <v>41383</v>
      </c>
      <c r="E65" s="337">
        <v>1</v>
      </c>
      <c r="F65" s="93">
        <v>0.90842999999999996</v>
      </c>
      <c r="G65" s="366"/>
      <c r="H65" s="358">
        <v>41390</v>
      </c>
      <c r="I65" s="362">
        <v>0.92130000000000001</v>
      </c>
      <c r="J65" s="324">
        <f>SUM(I65-F65)*10000</f>
        <v>128.70000000000047</v>
      </c>
      <c r="K65" s="32">
        <f t="shared" si="10"/>
        <v>10.586267493807034</v>
      </c>
      <c r="L65" s="349">
        <f>SUM((I65-F65)/J65*K65)*E65</f>
        <v>1.0586267493807033E-3</v>
      </c>
      <c r="M65" s="345" t="s">
        <v>885</v>
      </c>
      <c r="N65" s="356">
        <v>0.94462000000000002</v>
      </c>
      <c r="O65" s="350">
        <f t="shared" si="13"/>
        <v>1442.3287951271095</v>
      </c>
      <c r="P65" s="283"/>
    </row>
    <row r="66" spans="1:16" ht="15" customHeight="1" x14ac:dyDescent="0.25">
      <c r="A66" s="337" t="s">
        <v>1161</v>
      </c>
      <c r="B66" s="337" t="s">
        <v>3</v>
      </c>
      <c r="C66" s="345" t="s">
        <v>53</v>
      </c>
      <c r="D66" s="369">
        <v>41383</v>
      </c>
      <c r="E66" s="337">
        <v>1</v>
      </c>
      <c r="F66" s="93">
        <v>95.655000000000001</v>
      </c>
      <c r="G66" s="366"/>
      <c r="H66" s="358">
        <v>41390</v>
      </c>
      <c r="I66" s="362">
        <v>96.58</v>
      </c>
      <c r="J66" s="324">
        <f>SUM(I66-F66)*10000</f>
        <v>9249.9999999999709</v>
      </c>
      <c r="K66" s="32">
        <f>SUM(100000/N66)/100</f>
        <v>10.077191285244977</v>
      </c>
      <c r="L66" s="349">
        <f>SUM((I66-F66)/J66*K66)*E66</f>
        <v>1.0077191285244977E-3</v>
      </c>
      <c r="M66" s="345" t="s">
        <v>885</v>
      </c>
      <c r="N66" s="356">
        <v>99.233999999999995</v>
      </c>
      <c r="O66" s="350">
        <f t="shared" si="13"/>
        <v>939.33550384460727</v>
      </c>
      <c r="P66" s="283"/>
    </row>
    <row r="67" spans="1:16" ht="15" customHeight="1" x14ac:dyDescent="0.25">
      <c r="A67" s="343" t="s">
        <v>1045</v>
      </c>
      <c r="B67" s="343" t="s">
        <v>3</v>
      </c>
      <c r="C67" s="352" t="s">
        <v>78</v>
      </c>
      <c r="D67" s="282">
        <v>41383</v>
      </c>
      <c r="E67" s="343">
        <v>1</v>
      </c>
      <c r="F67" s="323">
        <v>1.30304</v>
      </c>
      <c r="G67" s="370"/>
      <c r="H67" s="358">
        <v>41389</v>
      </c>
      <c r="I67" s="354">
        <v>1.3070999999999999</v>
      </c>
      <c r="J67" s="324">
        <f>SUM(F67-I67)*10000</f>
        <v>-40.599999999999525</v>
      </c>
      <c r="K67" s="329">
        <f t="shared" ref="K67:K68" si="14">SUM(100000/N67)/10000</f>
        <v>10</v>
      </c>
      <c r="L67" s="351">
        <f>SUM((F67-I67)/J67*K67)*E67</f>
        <v>1E-3</v>
      </c>
      <c r="M67" s="345" t="s">
        <v>885</v>
      </c>
      <c r="N67" s="357">
        <v>1</v>
      </c>
      <c r="O67" s="350">
        <f>SUM(J67*K67)/N67</f>
        <v>-405.99999999999523</v>
      </c>
      <c r="P67" s="283"/>
    </row>
    <row r="68" spans="1:16" ht="15" customHeight="1" x14ac:dyDescent="0.25">
      <c r="A68" s="337" t="s">
        <v>1042</v>
      </c>
      <c r="B68" s="337" t="s">
        <v>3</v>
      </c>
      <c r="C68" s="345" t="s">
        <v>53</v>
      </c>
      <c r="D68" s="369">
        <v>41383</v>
      </c>
      <c r="E68" s="337">
        <v>1</v>
      </c>
      <c r="F68" s="93">
        <v>1.42475</v>
      </c>
      <c r="G68" s="366"/>
      <c r="H68" s="358">
        <v>41394</v>
      </c>
      <c r="I68" s="362">
        <v>1.45126</v>
      </c>
      <c r="J68" s="324">
        <f>SUM(I68-F68)*10000</f>
        <v>265.10000000000036</v>
      </c>
      <c r="K68" s="32">
        <f t="shared" si="14"/>
        <v>10.682505261133841</v>
      </c>
      <c r="L68" s="349">
        <f>SUM((I68-F68)/J68*K68)*E68</f>
        <v>1.068250526113384E-3</v>
      </c>
      <c r="M68" s="345" t="s">
        <v>885</v>
      </c>
      <c r="N68" s="356">
        <v>0.93611</v>
      </c>
      <c r="O68" s="350">
        <f t="shared" ref="O68:O72" si="15">SUM(J68*K68)/N68</f>
        <v>3025.2130035215787</v>
      </c>
      <c r="P68" s="283"/>
    </row>
    <row r="69" spans="1:16" ht="15" customHeight="1" x14ac:dyDescent="0.25">
      <c r="A69" s="337" t="s">
        <v>1162</v>
      </c>
      <c r="B69" s="337" t="s">
        <v>3</v>
      </c>
      <c r="C69" s="345" t="s">
        <v>53</v>
      </c>
      <c r="D69" s="369">
        <v>41383</v>
      </c>
      <c r="E69" s="337">
        <v>1</v>
      </c>
      <c r="F69" s="93">
        <v>149.94800000000001</v>
      </c>
      <c r="G69" s="366"/>
      <c r="H69" s="358">
        <v>41390</v>
      </c>
      <c r="I69" s="362">
        <v>151.42099999999999</v>
      </c>
      <c r="J69" s="324">
        <f>SUM(I69-F69)*10000</f>
        <v>14729.999999999847</v>
      </c>
      <c r="K69" s="32">
        <f>SUM(100000/N69)/100</f>
        <v>10.077191285244977</v>
      </c>
      <c r="L69" s="349">
        <f>SUM((I69-F69)/J69*K69)*E69</f>
        <v>1.0077191285244977E-3</v>
      </c>
      <c r="M69" s="345" t="s">
        <v>885</v>
      </c>
      <c r="N69" s="356">
        <v>99.233999999999995</v>
      </c>
      <c r="O69" s="350">
        <f t="shared" si="15"/>
        <v>1495.8283212574015</v>
      </c>
      <c r="P69" s="283"/>
    </row>
    <row r="70" spans="1:16" s="326" customFormat="1" ht="15" customHeight="1" x14ac:dyDescent="0.25">
      <c r="A70" s="337" t="s">
        <v>1158</v>
      </c>
      <c r="B70" s="337" t="s">
        <v>3</v>
      </c>
      <c r="C70" s="345" t="s">
        <v>53</v>
      </c>
      <c r="D70" s="369">
        <v>41383</v>
      </c>
      <c r="E70" s="337">
        <v>1</v>
      </c>
      <c r="F70" s="93">
        <v>0.93269999999999997</v>
      </c>
      <c r="G70" s="366"/>
      <c r="H70" s="358">
        <v>41389</v>
      </c>
      <c r="I70" s="362">
        <v>0.94430000000000003</v>
      </c>
      <c r="J70" s="324">
        <f>SUM(I70-F70)*10000</f>
        <v>116.00000000000054</v>
      </c>
      <c r="K70" s="32">
        <f>SUM(100000/N70)/10000</f>
        <v>10.58985491898761</v>
      </c>
      <c r="L70" s="349">
        <f>SUM((I70-F70)/J70*K70)*E70</f>
        <v>1.058985491898761E-3</v>
      </c>
      <c r="M70" s="345" t="s">
        <v>885</v>
      </c>
      <c r="N70" s="356">
        <f>I70</f>
        <v>0.94430000000000003</v>
      </c>
      <c r="O70" s="350">
        <f t="shared" si="15"/>
        <v>1300.8823155803966</v>
      </c>
      <c r="P70" s="373"/>
    </row>
    <row r="71" spans="1:16" s="326" customFormat="1" ht="15" customHeight="1" x14ac:dyDescent="0.25">
      <c r="A71" s="337" t="s">
        <v>1152</v>
      </c>
      <c r="B71" s="337" t="s">
        <v>3</v>
      </c>
      <c r="C71" s="345" t="s">
        <v>53</v>
      </c>
      <c r="D71" s="369">
        <v>41386</v>
      </c>
      <c r="E71" s="337">
        <v>1</v>
      </c>
      <c r="F71" s="93">
        <v>83.790999999999997</v>
      </c>
      <c r="G71" s="366"/>
      <c r="H71" s="358">
        <v>41387</v>
      </c>
      <c r="I71" s="362">
        <v>82.444000000000003</v>
      </c>
      <c r="J71" s="324">
        <f>SUM(I71-F71)*10000</f>
        <v>-13469.999999999942</v>
      </c>
      <c r="K71" s="32">
        <f>SUM(100000/N71)/100</f>
        <v>10.078308456708626</v>
      </c>
      <c r="L71" s="349">
        <f>SUM((I71-F71)/J71*K71)*E71</f>
        <v>1.0078308456708627E-3</v>
      </c>
      <c r="M71" s="345" t="s">
        <v>885</v>
      </c>
      <c r="N71" s="356">
        <v>99.222999999999999</v>
      </c>
      <c r="O71" s="350">
        <f t="shared" si="15"/>
        <v>-1368.1788991651595</v>
      </c>
      <c r="P71" s="283"/>
    </row>
    <row r="72" spans="1:16" ht="15" customHeight="1" x14ac:dyDescent="0.25">
      <c r="A72" s="337" t="s">
        <v>1070</v>
      </c>
      <c r="B72" s="337" t="s">
        <v>3</v>
      </c>
      <c r="C72" s="345" t="s">
        <v>53</v>
      </c>
      <c r="D72" s="369">
        <v>41386</v>
      </c>
      <c r="E72" s="337">
        <v>1</v>
      </c>
      <c r="F72" s="93">
        <v>1.2361899999999999</v>
      </c>
      <c r="G72" s="366"/>
      <c r="H72" s="358">
        <v>41389</v>
      </c>
      <c r="I72" s="362">
        <v>1.2407999999999999</v>
      </c>
      <c r="J72" s="324">
        <f>SUM(I72-F72)*10000</f>
        <v>46.10000000000003</v>
      </c>
      <c r="K72" s="32">
        <f>SUM(100000/N72)/10000</f>
        <v>8.0593165699548681</v>
      </c>
      <c r="L72" s="349">
        <f>SUM((I72-F72)/J72*K72)*E72</f>
        <v>8.0593165699548684E-4</v>
      </c>
      <c r="M72" s="345" t="s">
        <v>885</v>
      </c>
      <c r="N72" s="356">
        <f>I72</f>
        <v>1.2407999999999999</v>
      </c>
      <c r="O72" s="350">
        <f t="shared" si="15"/>
        <v>299.43141027959354</v>
      </c>
      <c r="P72" s="283"/>
    </row>
    <row r="73" spans="1:16" ht="15" customHeight="1" x14ac:dyDescent="0.25">
      <c r="A73" s="343" t="s">
        <v>1040</v>
      </c>
      <c r="B73" s="343" t="s">
        <v>3</v>
      </c>
      <c r="C73" s="352" t="s">
        <v>78</v>
      </c>
      <c r="D73" s="282">
        <v>41388</v>
      </c>
      <c r="E73" s="343">
        <v>1</v>
      </c>
      <c r="F73" s="323">
        <v>0.85029999999999994</v>
      </c>
      <c r="G73" s="370"/>
      <c r="H73" s="358">
        <v>41395</v>
      </c>
      <c r="I73" s="354">
        <v>0.84746999999999995</v>
      </c>
      <c r="J73" s="324">
        <f>SUM(F73-I73)*10000</f>
        <v>28.29999999999999</v>
      </c>
      <c r="K73" s="329">
        <f t="shared" ref="K73" si="16">SUM(100000/N73)/10000</f>
        <v>15.5306</v>
      </c>
      <c r="L73" s="351">
        <f>SUM((F73-I73)/J73*K73)*E73</f>
        <v>1.55306E-3</v>
      </c>
      <c r="M73" s="345" t="s">
        <v>885</v>
      </c>
      <c r="N73" s="357">
        <f>1/1.55306</f>
        <v>0.64389012658879885</v>
      </c>
      <c r="O73" s="350">
        <f>SUM(J73*K73)/N73</f>
        <v>682.59468789879975</v>
      </c>
      <c r="P73" s="283"/>
    </row>
    <row r="74" spans="1:16" ht="15" customHeight="1" x14ac:dyDescent="0.25">
      <c r="A74" s="337" t="s">
        <v>1167</v>
      </c>
      <c r="B74" s="337" t="s">
        <v>3</v>
      </c>
      <c r="C74" s="345" t="s">
        <v>53</v>
      </c>
      <c r="D74" s="369">
        <v>41388</v>
      </c>
      <c r="E74" s="337">
        <v>1</v>
      </c>
      <c r="F74" s="93">
        <v>102.014</v>
      </c>
      <c r="G74" s="366"/>
      <c r="H74" s="358">
        <v>41390</v>
      </c>
      <c r="I74" s="362">
        <v>101.532</v>
      </c>
      <c r="J74" s="324">
        <f>SUM(I74-F74)*10000</f>
        <v>-4819.9999999999927</v>
      </c>
      <c r="K74" s="32">
        <f>SUM(100000/N74)/100</f>
        <v>10.077191285244977</v>
      </c>
      <c r="L74" s="349">
        <f>SUM((I74-F74)/J74*K74)*E74</f>
        <v>1.0077191285244977E-3</v>
      </c>
      <c r="M74" s="345" t="s">
        <v>885</v>
      </c>
      <c r="N74" s="356">
        <v>99.233999999999995</v>
      </c>
      <c r="O74" s="350">
        <f t="shared" ref="O74" si="17">SUM(J74*K74)/N74</f>
        <v>-489.4699598411907</v>
      </c>
      <c r="P74" s="283"/>
    </row>
    <row r="75" spans="1:16" s="326" customFormat="1" ht="15" customHeight="1" x14ac:dyDescent="0.25">
      <c r="A75" s="343" t="s">
        <v>1129</v>
      </c>
      <c r="B75" s="343" t="s">
        <v>3</v>
      </c>
      <c r="C75" s="352" t="s">
        <v>78</v>
      </c>
      <c r="D75" s="282">
        <v>41388</v>
      </c>
      <c r="E75" s="343">
        <v>1</v>
      </c>
      <c r="F75" s="323">
        <v>1.2652099999999999</v>
      </c>
      <c r="G75" s="370"/>
      <c r="H75" s="358">
        <v>41390</v>
      </c>
      <c r="I75" s="354">
        <v>1.2678</v>
      </c>
      <c r="J75" s="324">
        <f>SUM(F75-I75)*10000</f>
        <v>-25.900000000000922</v>
      </c>
      <c r="K75" s="329">
        <f t="shared" ref="K75:K76" si="18">SUM(100000/N75)/10000</f>
        <v>10.289899999999999</v>
      </c>
      <c r="L75" s="351">
        <f>SUM((F75-I75)/J75*K75)*E75</f>
        <v>1.02899E-3</v>
      </c>
      <c r="M75" s="345" t="s">
        <v>885</v>
      </c>
      <c r="N75" s="357">
        <f>1/1.02899</f>
        <v>0.97182674272830638</v>
      </c>
      <c r="O75" s="350">
        <f>SUM(J75*K75)/N75</f>
        <v>-274.23448880590973</v>
      </c>
      <c r="P75" s="283"/>
    </row>
    <row r="76" spans="1:16" ht="15" customHeight="1" x14ac:dyDescent="0.25">
      <c r="A76" s="337" t="s">
        <v>1184</v>
      </c>
      <c r="B76" s="337" t="s">
        <v>3</v>
      </c>
      <c r="C76" s="345" t="s">
        <v>53</v>
      </c>
      <c r="D76" s="369">
        <v>41388</v>
      </c>
      <c r="E76" s="337">
        <v>1</v>
      </c>
      <c r="F76" s="93">
        <v>0.83914999999999995</v>
      </c>
      <c r="G76" s="366"/>
      <c r="H76" s="358">
        <v>41395</v>
      </c>
      <c r="I76" s="362">
        <v>0.85429999999999995</v>
      </c>
      <c r="J76" s="324">
        <f>SUM(I76-F76)*10000</f>
        <v>151.49999999999997</v>
      </c>
      <c r="K76" s="32">
        <f t="shared" si="18"/>
        <v>10</v>
      </c>
      <c r="L76" s="349">
        <f>SUM((I76-F76)/J76*K76)*E76</f>
        <v>1E-3</v>
      </c>
      <c r="M76" s="345" t="s">
        <v>885</v>
      </c>
      <c r="N76" s="356">
        <v>1</v>
      </c>
      <c r="O76" s="350">
        <f t="shared" ref="O76:O78" si="19">SUM(J76*K76)/N76</f>
        <v>1514.9999999999998</v>
      </c>
      <c r="P76" s="283"/>
    </row>
    <row r="77" spans="1:16" ht="15" customHeight="1" x14ac:dyDescent="0.25">
      <c r="A77" s="337" t="s">
        <v>1153</v>
      </c>
      <c r="B77" s="337" t="s">
        <v>3</v>
      </c>
      <c r="C77" s="345" t="s">
        <v>53</v>
      </c>
      <c r="D77" s="369">
        <v>41389</v>
      </c>
      <c r="E77" s="337">
        <v>1</v>
      </c>
      <c r="F77" s="93">
        <v>1.05382</v>
      </c>
      <c r="G77" s="366"/>
      <c r="H77" s="358">
        <v>41389</v>
      </c>
      <c r="I77" s="362">
        <v>1.0496300000000001</v>
      </c>
      <c r="J77" s="324">
        <f>SUM(I77-F77)*10000</f>
        <v>-41.89999999999916</v>
      </c>
      <c r="K77" s="32">
        <f>SUM(100000/N77)/10000</f>
        <v>9.7526722321916193</v>
      </c>
      <c r="L77" s="349">
        <f>SUM((I77-F77)/J77*K77)*E77</f>
        <v>9.7526722321916194E-4</v>
      </c>
      <c r="M77" s="345" t="s">
        <v>885</v>
      </c>
      <c r="N77" s="356">
        <v>1.02536</v>
      </c>
      <c r="O77" s="350">
        <f t="shared" si="19"/>
        <v>-398.53023965126459</v>
      </c>
      <c r="P77" s="283"/>
    </row>
    <row r="78" spans="1:16" ht="15" customHeight="1" x14ac:dyDescent="0.25">
      <c r="A78" s="337" t="s">
        <v>1069</v>
      </c>
      <c r="B78" s="337" t="s">
        <v>3</v>
      </c>
      <c r="C78" s="345" t="s">
        <v>53</v>
      </c>
      <c r="D78" s="369">
        <v>41389</v>
      </c>
      <c r="E78" s="337">
        <v>1</v>
      </c>
      <c r="F78" s="93">
        <v>1.02742</v>
      </c>
      <c r="G78" s="366"/>
      <c r="H78" s="358">
        <v>41390</v>
      </c>
      <c r="I78" s="362">
        <v>1.0274000000000001</v>
      </c>
      <c r="J78" s="324">
        <f>SUM(I78-F78)*10000</f>
        <v>-0.19999999999908979</v>
      </c>
      <c r="K78" s="32">
        <f>SUM(100000/N78)/10000</f>
        <v>10</v>
      </c>
      <c r="L78" s="349">
        <f>SUM((I78-F78)/J78*K78)*E78</f>
        <v>1E-3</v>
      </c>
      <c r="M78" s="345" t="s">
        <v>885</v>
      </c>
      <c r="N78" s="356">
        <v>1</v>
      </c>
      <c r="O78" s="350">
        <f t="shared" si="19"/>
        <v>-1.9999999999908979</v>
      </c>
      <c r="P78" s="283"/>
    </row>
    <row r="79" spans="1:16" ht="15" customHeight="1" x14ac:dyDescent="0.25">
      <c r="A79" s="343" t="s">
        <v>1041</v>
      </c>
      <c r="B79" s="343" t="s">
        <v>3</v>
      </c>
      <c r="C79" s="352" t="s">
        <v>78</v>
      </c>
      <c r="D79" s="282">
        <v>41389</v>
      </c>
      <c r="E79" s="343">
        <v>1</v>
      </c>
      <c r="F79" s="323">
        <v>1.02528</v>
      </c>
      <c r="G79" s="370"/>
      <c r="H79" s="358">
        <v>41397</v>
      </c>
      <c r="I79" s="354">
        <v>1.0124</v>
      </c>
      <c r="J79" s="324">
        <f>SUM(F79-I79)*10000</f>
        <v>128.80000000000001</v>
      </c>
      <c r="K79" s="329">
        <f t="shared" ref="K79" si="20">SUM(100000/N79)/10000</f>
        <v>9.8775187672856593</v>
      </c>
      <c r="L79" s="351">
        <f>SUM((F79-I79)/J79*K79)*E79</f>
        <v>9.8775187672856587E-4</v>
      </c>
      <c r="M79" s="345" t="s">
        <v>885</v>
      </c>
      <c r="N79" s="357">
        <f>I79</f>
        <v>1.0124</v>
      </c>
      <c r="O79" s="350">
        <f>SUM(J79*K79)/N79</f>
        <v>1256.6420557352756</v>
      </c>
    </row>
    <row r="80" spans="1:16" ht="15" customHeight="1" x14ac:dyDescent="0.25">
      <c r="A80" s="343" t="s">
        <v>1178</v>
      </c>
      <c r="B80" s="343" t="s">
        <v>3</v>
      </c>
      <c r="C80" s="352" t="s">
        <v>78</v>
      </c>
      <c r="D80" s="282">
        <v>41390</v>
      </c>
      <c r="E80" s="343">
        <v>1</v>
      </c>
      <c r="F80" s="323">
        <v>103.667</v>
      </c>
      <c r="G80" s="370"/>
      <c r="H80" s="358">
        <v>41396</v>
      </c>
      <c r="I80" s="354">
        <v>104.727</v>
      </c>
      <c r="J80" s="324">
        <f>SUM(F80-I80)*10000</f>
        <v>-10600.000000000022</v>
      </c>
      <c r="K80" s="329">
        <f>SUM(100000/N80)/100</f>
        <v>10.270103728047651</v>
      </c>
      <c r="L80" s="351">
        <f>SUM((F80-I80)/J80*K80)*E80</f>
        <v>1.0270103728047652E-3</v>
      </c>
      <c r="M80" s="345" t="s">
        <v>885</v>
      </c>
      <c r="N80" s="357">
        <v>97.37</v>
      </c>
      <c r="O80" s="350">
        <f>SUM(J80*K80)/N80</f>
        <v>-1118.0353241995001</v>
      </c>
      <c r="P80" s="283"/>
    </row>
    <row r="81" spans="1:16" ht="15" customHeight="1" x14ac:dyDescent="0.25">
      <c r="A81" s="281" t="s">
        <v>1045</v>
      </c>
      <c r="B81" s="281" t="s">
        <v>3</v>
      </c>
      <c r="C81" s="316" t="s">
        <v>78</v>
      </c>
      <c r="D81" s="397">
        <v>41390</v>
      </c>
      <c r="E81" s="281">
        <v>1</v>
      </c>
      <c r="F81" s="398">
        <v>1.3009900000000001</v>
      </c>
      <c r="G81" s="399"/>
      <c r="H81" s="400">
        <v>41393</v>
      </c>
      <c r="I81" s="401">
        <v>1.3080000000000001</v>
      </c>
      <c r="J81" s="402">
        <f>SUM(F81-I81)*10000</f>
        <v>-70.099999999999611</v>
      </c>
      <c r="K81" s="403">
        <f t="shared" ref="K81:K89" si="21">SUM(100000/N81)/10000</f>
        <v>10</v>
      </c>
      <c r="L81" s="404">
        <f>SUM((F81-I81)/J81*K81)*E81</f>
        <v>1E-3</v>
      </c>
      <c r="M81" s="345" t="s">
        <v>885</v>
      </c>
      <c r="N81" s="405">
        <v>1</v>
      </c>
      <c r="O81" s="406">
        <f>SUM(J81*K81)/N81</f>
        <v>-700.99999999999613</v>
      </c>
      <c r="P81" s="373"/>
    </row>
    <row r="82" spans="1:16" ht="15" customHeight="1" x14ac:dyDescent="0.25">
      <c r="A82" s="343" t="s">
        <v>1070</v>
      </c>
      <c r="B82" s="343" t="s">
        <v>3</v>
      </c>
      <c r="C82" s="352" t="s">
        <v>78</v>
      </c>
      <c r="D82" s="282">
        <v>41390</v>
      </c>
      <c r="E82" s="343">
        <v>1</v>
      </c>
      <c r="F82" s="323">
        <v>1.2384500000000001</v>
      </c>
      <c r="G82" s="370"/>
      <c r="H82" s="358">
        <v>41396</v>
      </c>
      <c r="I82" s="354">
        <v>1.2342</v>
      </c>
      <c r="J82" s="324">
        <f>SUM(F82-I82)*10000</f>
        <v>42.500000000000867</v>
      </c>
      <c r="K82" s="329">
        <f t="shared" si="21"/>
        <v>8.1024145195268193</v>
      </c>
      <c r="L82" s="351">
        <f>SUM((F82-I82)/J82*K82)*E82</f>
        <v>8.1024145195268194E-4</v>
      </c>
      <c r="M82" s="345" t="s">
        <v>885</v>
      </c>
      <c r="N82" s="357">
        <f>I82</f>
        <v>1.2342</v>
      </c>
      <c r="O82" s="350">
        <f>SUM(J82*K82)/N82</f>
        <v>279.00876444652152</v>
      </c>
      <c r="P82" s="283"/>
    </row>
    <row r="83" spans="1:16" ht="15" customHeight="1" x14ac:dyDescent="0.25">
      <c r="A83" s="343" t="s">
        <v>1155</v>
      </c>
      <c r="B83" s="343" t="s">
        <v>3</v>
      </c>
      <c r="C83" s="352" t="s">
        <v>78</v>
      </c>
      <c r="D83" s="282">
        <v>41393</v>
      </c>
      <c r="E83" s="343">
        <v>1</v>
      </c>
      <c r="F83" s="323">
        <v>0.96745000000000003</v>
      </c>
      <c r="G83" s="370"/>
      <c r="H83" s="358">
        <v>41397</v>
      </c>
      <c r="I83" s="354">
        <v>0.96443999999999996</v>
      </c>
      <c r="J83" s="324">
        <f>SUM(F83-I83)*10000</f>
        <v>30.100000000000684</v>
      </c>
      <c r="K83" s="329">
        <f t="shared" si="21"/>
        <v>10.699077739498854</v>
      </c>
      <c r="L83" s="351">
        <f>SUM((F83-I83)/J83*K83)*E83</f>
        <v>1.0699077739498852E-3</v>
      </c>
      <c r="M83" s="345" t="s">
        <v>885</v>
      </c>
      <c r="N83" s="357">
        <v>0.93466000000000005</v>
      </c>
      <c r="O83" s="350">
        <f>SUM(J83*K83)/N83</f>
        <v>344.55549607228596</v>
      </c>
      <c r="P83" s="283"/>
    </row>
    <row r="84" spans="1:16" ht="15" customHeight="1" x14ac:dyDescent="0.25">
      <c r="A84" s="337" t="s">
        <v>1129</v>
      </c>
      <c r="B84" s="337" t="s">
        <v>3</v>
      </c>
      <c r="C84" s="345" t="s">
        <v>53</v>
      </c>
      <c r="D84" s="369">
        <v>41393</v>
      </c>
      <c r="E84" s="337">
        <v>1</v>
      </c>
      <c r="F84" s="93">
        <v>1.2689699999999999</v>
      </c>
      <c r="G84" s="366"/>
      <c r="H84" s="358">
        <v>41397</v>
      </c>
      <c r="I84" s="362">
        <v>1.27457</v>
      </c>
      <c r="J84" s="324">
        <f>SUM(I84-F84)*10000</f>
        <v>56.000000000000497</v>
      </c>
      <c r="K84" s="32">
        <f t="shared" si="21"/>
        <v>10.247400000000001</v>
      </c>
      <c r="L84" s="349">
        <f>SUM((I84-F84)/J84*K84)*E84</f>
        <v>1.0247399999999999E-3</v>
      </c>
      <c r="M84" s="345" t="s">
        <v>885</v>
      </c>
      <c r="N84" s="356">
        <f>1/1.02474</f>
        <v>0.9758572906298183</v>
      </c>
      <c r="O84" s="350">
        <f t="shared" ref="O84:O86" si="22">SUM(J84*K84)/N84</f>
        <v>588.05155785600527</v>
      </c>
      <c r="P84" s="283"/>
    </row>
    <row r="85" spans="1:16" ht="15" customHeight="1" x14ac:dyDescent="0.25">
      <c r="A85" s="337" t="s">
        <v>1154</v>
      </c>
      <c r="B85" s="337" t="s">
        <v>3</v>
      </c>
      <c r="C85" s="345" t="s">
        <v>53</v>
      </c>
      <c r="D85" s="369">
        <v>41393</v>
      </c>
      <c r="E85" s="337">
        <v>1</v>
      </c>
      <c r="F85" s="93">
        <v>1.2280899999999999</v>
      </c>
      <c r="G85" s="366"/>
      <c r="H85" s="358">
        <v>41394</v>
      </c>
      <c r="I85" s="362">
        <v>1.2262599999999999</v>
      </c>
      <c r="J85" s="324">
        <f>SUM(I85-F85)*10000</f>
        <v>-18.299999999999983</v>
      </c>
      <c r="K85" s="32">
        <f t="shared" si="21"/>
        <v>10.682505261133841</v>
      </c>
      <c r="L85" s="349">
        <f>SUM((I85-F85)/J85*K85)*E85</f>
        <v>1.0682505261133842E-3</v>
      </c>
      <c r="M85" s="345" t="s">
        <v>885</v>
      </c>
      <c r="N85" s="356">
        <v>0.93611</v>
      </c>
      <c r="O85" s="350">
        <f t="shared" si="22"/>
        <v>-208.83213113709832</v>
      </c>
      <c r="P85" s="283"/>
    </row>
    <row r="86" spans="1:16" ht="15" customHeight="1" x14ac:dyDescent="0.25">
      <c r="A86" s="314" t="s">
        <v>1130</v>
      </c>
      <c r="B86" s="314" t="s">
        <v>3</v>
      </c>
      <c r="C86" s="315" t="s">
        <v>53</v>
      </c>
      <c r="D86" s="408">
        <v>41394</v>
      </c>
      <c r="E86" s="314">
        <v>1</v>
      </c>
      <c r="F86" s="409">
        <v>1.2767599999999999</v>
      </c>
      <c r="G86" s="410"/>
      <c r="H86" s="400">
        <v>41395</v>
      </c>
      <c r="I86" s="411">
        <v>1.2736799999999999</v>
      </c>
      <c r="J86" s="402">
        <f>SUM(I86-F86)*10000</f>
        <v>-30.799999999999716</v>
      </c>
      <c r="K86" s="412">
        <f t="shared" si="21"/>
        <v>8.1219593414715359</v>
      </c>
      <c r="L86" s="413">
        <f>SUM((I86-F86)/J86*K86)*E86</f>
        <v>8.1219593414715366E-4</v>
      </c>
      <c r="M86" s="345" t="s">
        <v>885</v>
      </c>
      <c r="N86" s="414">
        <v>1.23123</v>
      </c>
      <c r="O86" s="406">
        <f t="shared" si="22"/>
        <v>-203.17596851710971</v>
      </c>
      <c r="P86" s="373"/>
    </row>
    <row r="87" spans="1:16" ht="15" customHeight="1" x14ac:dyDescent="0.25">
      <c r="A87" s="281" t="s">
        <v>1156</v>
      </c>
      <c r="B87" s="281" t="s">
        <v>3</v>
      </c>
      <c r="C87" s="316" t="s">
        <v>78</v>
      </c>
      <c r="D87" s="397">
        <v>41394</v>
      </c>
      <c r="E87" s="281">
        <v>1</v>
      </c>
      <c r="F87" s="398">
        <v>1.49739</v>
      </c>
      <c r="G87" s="399"/>
      <c r="H87" s="400">
        <v>41395</v>
      </c>
      <c r="I87" s="401">
        <v>1.5016700000000001</v>
      </c>
      <c r="J87" s="402">
        <f>SUM(F87-I87)*10000</f>
        <v>-42.800000000000615</v>
      </c>
      <c r="K87" s="403">
        <f t="shared" si="21"/>
        <v>10.3682</v>
      </c>
      <c r="L87" s="404">
        <f>SUM((F87-I87)/J87*K87)*E87</f>
        <v>1.0368199999999999E-3</v>
      </c>
      <c r="M87" s="345" t="s">
        <v>885</v>
      </c>
      <c r="N87" s="405">
        <f>1/1.03682</f>
        <v>0.96448756775525157</v>
      </c>
      <c r="O87" s="406">
        <f>SUM(J87*K87)/N87</f>
        <v>-460.09816490720664</v>
      </c>
      <c r="P87" s="373"/>
    </row>
    <row r="88" spans="1:16" ht="15" customHeight="1" x14ac:dyDescent="0.25">
      <c r="A88" s="281" t="s">
        <v>1185</v>
      </c>
      <c r="B88" s="281" t="s">
        <v>3</v>
      </c>
      <c r="C88" s="316" t="s">
        <v>78</v>
      </c>
      <c r="D88" s="397">
        <v>41394</v>
      </c>
      <c r="E88" s="281">
        <v>1</v>
      </c>
      <c r="F88" s="398">
        <v>1.5671299999999999</v>
      </c>
      <c r="G88" s="399"/>
      <c r="H88" s="400">
        <v>41397</v>
      </c>
      <c r="I88" s="401">
        <v>1.56959</v>
      </c>
      <c r="J88" s="402">
        <f>SUM(F88-I88)*10000</f>
        <v>-24.600000000001288</v>
      </c>
      <c r="K88" s="403">
        <f t="shared" si="21"/>
        <v>9.8988339173645343</v>
      </c>
      <c r="L88" s="404">
        <f>SUM((F88-I88)/J88*K88)*E88</f>
        <v>9.8988339173645338E-4</v>
      </c>
      <c r="M88" s="345" t="s">
        <v>885</v>
      </c>
      <c r="N88" s="405">
        <v>1.0102199999999999</v>
      </c>
      <c r="O88" s="406">
        <f>SUM(J88*K88)/N88</f>
        <v>-241.04780579198621</v>
      </c>
      <c r="P88" s="373"/>
    </row>
    <row r="89" spans="1:16" ht="15" customHeight="1" x14ac:dyDescent="0.25">
      <c r="A89" s="281" t="s">
        <v>1042</v>
      </c>
      <c r="B89" s="281" t="s">
        <v>3</v>
      </c>
      <c r="C89" s="316" t="s">
        <v>78</v>
      </c>
      <c r="D89" s="397">
        <v>41394</v>
      </c>
      <c r="E89" s="281">
        <v>1</v>
      </c>
      <c r="F89" s="398">
        <v>1.45133</v>
      </c>
      <c r="G89" s="399"/>
      <c r="H89" s="400">
        <v>41396</v>
      </c>
      <c r="I89" s="401">
        <v>1.4489000000000001</v>
      </c>
      <c r="J89" s="402">
        <f>SUM(F89-I89)*10000</f>
        <v>24.299999999999322</v>
      </c>
      <c r="K89" s="403">
        <f t="shared" si="21"/>
        <v>10.785973919515063</v>
      </c>
      <c r="L89" s="404">
        <f>SUM((F89-I89)/J89*K89)*E89</f>
        <v>1.0785973919515063E-3</v>
      </c>
      <c r="M89" s="345" t="s">
        <v>885</v>
      </c>
      <c r="N89" s="405">
        <v>0.92713000000000001</v>
      </c>
      <c r="O89" s="406">
        <f>SUM(J89*K89)/N89</f>
        <v>282.69947714366782</v>
      </c>
      <c r="P89" s="373"/>
    </row>
    <row r="90" spans="1:16" ht="15" customHeight="1" x14ac:dyDescent="0.25">
      <c r="A90" s="281" t="s">
        <v>1162</v>
      </c>
      <c r="B90" s="281" t="s">
        <v>3</v>
      </c>
      <c r="C90" s="316" t="s">
        <v>78</v>
      </c>
      <c r="D90" s="397">
        <v>41394</v>
      </c>
      <c r="E90" s="281">
        <v>1</v>
      </c>
      <c r="F90" s="398">
        <v>151.48599999999999</v>
      </c>
      <c r="G90" s="399"/>
      <c r="H90" s="400">
        <v>41396</v>
      </c>
      <c r="I90" s="401">
        <v>152.21</v>
      </c>
      <c r="J90" s="402">
        <f>SUM(F90-I90)*10000</f>
        <v>-7240.0000000001801</v>
      </c>
      <c r="K90" s="403">
        <f>SUM(100000/N90)/100</f>
        <v>10.270103728047651</v>
      </c>
      <c r="L90" s="404">
        <f>SUM((F90-I90)/J90*K90)*E90</f>
        <v>1.027010372804765E-3</v>
      </c>
      <c r="M90" s="345" t="s">
        <v>885</v>
      </c>
      <c r="N90" s="405">
        <v>97.37</v>
      </c>
      <c r="O90" s="406">
        <f>SUM(J90*K90)/N90</f>
        <v>-763.63922143439299</v>
      </c>
      <c r="P90" s="373"/>
    </row>
    <row r="91" spans="1:16" ht="15" customHeight="1" x14ac:dyDescent="0.25">
      <c r="A91" s="337" t="s">
        <v>1159</v>
      </c>
      <c r="B91" s="337" t="s">
        <v>3</v>
      </c>
      <c r="C91" s="345" t="s">
        <v>53</v>
      </c>
      <c r="D91" s="369">
        <v>41395</v>
      </c>
      <c r="E91" s="337">
        <v>1</v>
      </c>
      <c r="F91" s="93">
        <v>1.21082</v>
      </c>
      <c r="G91" s="366"/>
      <c r="H91" s="358">
        <v>41396</v>
      </c>
      <c r="I91" s="362">
        <v>1.2061999999999999</v>
      </c>
      <c r="J91" s="324">
        <f>SUM(I91-F91)*10000</f>
        <v>-46.200000000000685</v>
      </c>
      <c r="K91" s="32">
        <f t="shared" ref="K91:K92" si="23">SUM(100000/N91)/10000</f>
        <v>8.4962</v>
      </c>
      <c r="L91" s="349">
        <f>SUM((I91-F91)/J91*K91)*E91</f>
        <v>8.4962000000000004E-4</v>
      </c>
      <c r="M91" s="345" t="s">
        <v>885</v>
      </c>
      <c r="N91" s="356">
        <f>1/0.84962</f>
        <v>1.1769967750288364</v>
      </c>
      <c r="O91" s="350">
        <f t="shared" ref="O91" si="24">SUM(J91*K91)/N91</f>
        <v>-333.49661471280496</v>
      </c>
      <c r="P91" s="283"/>
    </row>
    <row r="92" spans="1:16" ht="15" customHeight="1" x14ac:dyDescent="0.25">
      <c r="A92" s="343" t="s">
        <v>1160</v>
      </c>
      <c r="B92" s="343" t="s">
        <v>3</v>
      </c>
      <c r="C92" s="352" t="s">
        <v>78</v>
      </c>
      <c r="D92" s="282">
        <v>41395</v>
      </c>
      <c r="E92" s="343">
        <v>1</v>
      </c>
      <c r="F92" s="323">
        <v>0.92230000000000001</v>
      </c>
      <c r="G92" s="370"/>
      <c r="H92" s="358">
        <v>41396</v>
      </c>
      <c r="I92" s="354">
        <v>0.92469999999999997</v>
      </c>
      <c r="J92" s="324">
        <f>SUM(F92-I92)*10000</f>
        <v>-23.999999999999577</v>
      </c>
      <c r="K92" s="329">
        <f t="shared" si="23"/>
        <v>10.785973919515063</v>
      </c>
      <c r="L92" s="351">
        <f>SUM((F92-I92)/J92*K92)*E92</f>
        <v>1.0785973919515063E-3</v>
      </c>
      <c r="M92" s="345" t="s">
        <v>885</v>
      </c>
      <c r="N92" s="357">
        <v>0.92713000000000001</v>
      </c>
      <c r="O92" s="350">
        <f>SUM(J92*K92)/N92</f>
        <v>-279.20936014189698</v>
      </c>
      <c r="P92" s="283"/>
    </row>
    <row r="93" spans="1:16" ht="15" customHeight="1" x14ac:dyDescent="0.25">
      <c r="A93" s="337" t="s">
        <v>1178</v>
      </c>
      <c r="B93" s="337" t="s">
        <v>3</v>
      </c>
      <c r="C93" s="345" t="s">
        <v>53</v>
      </c>
      <c r="D93" s="369">
        <v>41395</v>
      </c>
      <c r="E93" s="337">
        <v>1</v>
      </c>
      <c r="F93" s="93">
        <v>104.79900000000001</v>
      </c>
      <c r="G93" s="366"/>
      <c r="H93" s="358">
        <v>41397</v>
      </c>
      <c r="I93" s="362">
        <v>104.727</v>
      </c>
      <c r="J93" s="324">
        <f>SUM(I93-F93)*10000</f>
        <v>-720.00000000002728</v>
      </c>
      <c r="K93" s="32">
        <f>SUM(100000/N93)/100</f>
        <v>10.212835491645901</v>
      </c>
      <c r="L93" s="349">
        <f>SUM((I93-F93)/J93*K93)*E93</f>
        <v>1.0212835491645901E-3</v>
      </c>
      <c r="M93" s="345" t="s">
        <v>885</v>
      </c>
      <c r="N93" s="356">
        <v>97.915999999999997</v>
      </c>
      <c r="O93" s="350">
        <f t="shared" ref="O93:O94" si="25">SUM(J93*K93)/N93</f>
        <v>-75.097446321186808</v>
      </c>
      <c r="P93" s="283"/>
    </row>
    <row r="94" spans="1:16" ht="15" customHeight="1" x14ac:dyDescent="0.25">
      <c r="A94" s="337" t="s">
        <v>1040</v>
      </c>
      <c r="B94" s="337" t="s">
        <v>3</v>
      </c>
      <c r="C94" s="345" t="s">
        <v>53</v>
      </c>
      <c r="D94" s="369">
        <v>41395</v>
      </c>
      <c r="E94" s="337">
        <v>1</v>
      </c>
      <c r="F94" s="93">
        <v>0.84760000000000002</v>
      </c>
      <c r="G94" s="366"/>
      <c r="H94" s="358">
        <v>41396</v>
      </c>
      <c r="I94" s="362">
        <v>0.84240000000000004</v>
      </c>
      <c r="J94" s="324">
        <f>SUM(I94-F94)*10000</f>
        <v>-51.999999999999822</v>
      </c>
      <c r="K94" s="32">
        <f t="shared" ref="K94" si="26">SUM(100000/N94)/10000</f>
        <v>15.5532</v>
      </c>
      <c r="L94" s="349">
        <f>SUM((I94-F94)/J94*K94)*E94</f>
        <v>1.55532E-3</v>
      </c>
      <c r="M94" s="345" t="s">
        <v>885</v>
      </c>
      <c r="N94" s="356">
        <f>1/1.55532</f>
        <v>0.64295450453925884</v>
      </c>
      <c r="O94" s="350">
        <f t="shared" si="25"/>
        <v>-1257.8905572479957</v>
      </c>
      <c r="P94" s="283"/>
    </row>
    <row r="95" spans="1:16" ht="15" customHeight="1" x14ac:dyDescent="0.25">
      <c r="A95" s="343" t="s">
        <v>1161</v>
      </c>
      <c r="B95" s="343" t="s">
        <v>3</v>
      </c>
      <c r="C95" s="352" t="s">
        <v>78</v>
      </c>
      <c r="D95" s="282">
        <v>41396</v>
      </c>
      <c r="E95" s="343">
        <v>1</v>
      </c>
      <c r="F95" s="323">
        <v>96.539000000000001</v>
      </c>
      <c r="G95" s="370"/>
      <c r="H95" s="358">
        <v>41396</v>
      </c>
      <c r="I95" s="354">
        <v>97.581999999999994</v>
      </c>
      <c r="J95" s="324">
        <f>SUM(F95-I95)*10000</f>
        <v>-10429.999999999922</v>
      </c>
      <c r="K95" s="329">
        <f>SUM(100000/N95)/100</f>
        <v>10.269681845256434</v>
      </c>
      <c r="L95" s="351">
        <f>SUM((F95-I95)/J95*K95)*E95</f>
        <v>1.0269681845256433E-3</v>
      </c>
      <c r="M95" s="345" t="s">
        <v>885</v>
      </c>
      <c r="N95" s="357">
        <v>97.373999999999995</v>
      </c>
      <c r="O95" s="350">
        <f>SUM(J95*K95)/N95</f>
        <v>-1100.0141890650873</v>
      </c>
      <c r="P95" s="283"/>
    </row>
    <row r="96" spans="1:16" ht="15" customHeight="1" x14ac:dyDescent="0.25">
      <c r="A96" s="337" t="s">
        <v>1151</v>
      </c>
      <c r="B96" s="337" t="s">
        <v>3</v>
      </c>
      <c r="C96" s="345" t="s">
        <v>53</v>
      </c>
      <c r="D96" s="369">
        <v>41396</v>
      </c>
      <c r="E96" s="337">
        <v>1</v>
      </c>
      <c r="F96" s="93">
        <v>1.3284899999999999</v>
      </c>
      <c r="G96" s="366"/>
      <c r="H96" s="358">
        <v>41396</v>
      </c>
      <c r="I96" s="362">
        <v>1.32026</v>
      </c>
      <c r="J96" s="324">
        <f>SUM(I96-F96)*10000</f>
        <v>-82.299999999999599</v>
      </c>
      <c r="K96" s="32">
        <f t="shared" ref="K96:K101" si="27">SUM(100000/N96)/10000</f>
        <v>10.578764188767469</v>
      </c>
      <c r="L96" s="349">
        <f>SUM((I96-F96)/J96*K96)*E96</f>
        <v>1.0578764188767468E-3</v>
      </c>
      <c r="M96" s="345" t="s">
        <v>885</v>
      </c>
      <c r="N96" s="356">
        <v>0.94528999999999996</v>
      </c>
      <c r="O96" s="350">
        <f t="shared" ref="O96" si="28">SUM(J96*K96)/N96</f>
        <v>-921.02137199754407</v>
      </c>
      <c r="P96" s="283"/>
    </row>
    <row r="97" spans="1:16" ht="15" customHeight="1" x14ac:dyDescent="0.25">
      <c r="A97" s="343" t="s">
        <v>1184</v>
      </c>
      <c r="B97" s="343" t="s">
        <v>3</v>
      </c>
      <c r="C97" s="352" t="s">
        <v>78</v>
      </c>
      <c r="D97" s="282">
        <v>41396</v>
      </c>
      <c r="E97" s="343">
        <v>1</v>
      </c>
      <c r="F97" s="323">
        <v>0.84965000000000002</v>
      </c>
      <c r="G97" s="370"/>
      <c r="H97" s="358">
        <v>41397</v>
      </c>
      <c r="I97" s="354">
        <v>0.85485</v>
      </c>
      <c r="J97" s="324">
        <f>SUM(F97-I97)*10000</f>
        <v>-51.999999999999822</v>
      </c>
      <c r="K97" s="329">
        <f t="shared" si="27"/>
        <v>10</v>
      </c>
      <c r="L97" s="351">
        <f>SUM((F97-I97)/J97*K97)*E97</f>
        <v>1E-3</v>
      </c>
      <c r="M97" s="345" t="s">
        <v>885</v>
      </c>
      <c r="N97" s="357">
        <v>1</v>
      </c>
      <c r="O97" s="350">
        <f>SUM(J97*K97)/N97</f>
        <v>-519.99999999999818</v>
      </c>
      <c r="P97" s="283"/>
    </row>
    <row r="98" spans="1:16" s="326" customFormat="1" ht="15" customHeight="1" x14ac:dyDescent="0.25">
      <c r="A98" s="337" t="s">
        <v>1160</v>
      </c>
      <c r="B98" s="337" t="s">
        <v>3</v>
      </c>
      <c r="C98" s="345" t="s">
        <v>53</v>
      </c>
      <c r="D98" s="369">
        <v>41397</v>
      </c>
      <c r="E98" s="337">
        <v>1</v>
      </c>
      <c r="F98" s="93">
        <v>0.92493000000000003</v>
      </c>
      <c r="G98" s="366"/>
      <c r="H98" s="358">
        <v>41411</v>
      </c>
      <c r="I98" s="362">
        <v>0.94330000000000003</v>
      </c>
      <c r="J98" s="324">
        <f>SUM(I98-F98)*10000</f>
        <v>183.7</v>
      </c>
      <c r="K98" s="32">
        <f t="shared" si="27"/>
        <v>10.366239232068997</v>
      </c>
      <c r="L98" s="349">
        <f>SUM((I98-F98)/J98*K98)*E98</f>
        <v>1.0366239232068996E-3</v>
      </c>
      <c r="M98" s="345" t="s">
        <v>885</v>
      </c>
      <c r="N98" s="356">
        <v>0.96467000000000003</v>
      </c>
      <c r="O98" s="350">
        <f t="shared" ref="O98" si="29">SUM(J98*K98)/N98</f>
        <v>1974.0202835488556</v>
      </c>
      <c r="P98" s="373"/>
    </row>
    <row r="99" spans="1:16" ht="15" customHeight="1" x14ac:dyDescent="0.25">
      <c r="A99" s="343" t="s">
        <v>1129</v>
      </c>
      <c r="B99" s="343" t="s">
        <v>3</v>
      </c>
      <c r="C99" s="352" t="s">
        <v>78</v>
      </c>
      <c r="D99" s="282">
        <v>41397</v>
      </c>
      <c r="E99" s="343">
        <v>1</v>
      </c>
      <c r="F99" s="323">
        <v>1.27454</v>
      </c>
      <c r="G99" s="370"/>
      <c r="H99" s="358">
        <v>41401</v>
      </c>
      <c r="I99" s="354">
        <v>1.288144</v>
      </c>
      <c r="J99" s="324">
        <f>SUM(F99-I99)*10000</f>
        <v>-136.03999999999951</v>
      </c>
      <c r="K99" s="329">
        <f t="shared" si="27"/>
        <v>10.252000000000001</v>
      </c>
      <c r="L99" s="351">
        <f>SUM((F99-I99)/J99*K99)*E99</f>
        <v>1.0252E-3</v>
      </c>
      <c r="M99" s="345" t="s">
        <v>885</v>
      </c>
      <c r="N99" s="357">
        <f>1/1.0252</f>
        <v>0.97541943035505274</v>
      </c>
      <c r="O99" s="350">
        <f>SUM(J99*K99)/N99</f>
        <v>-1429.8280684159947</v>
      </c>
      <c r="P99" s="373"/>
    </row>
    <row r="100" spans="1:16" x14ac:dyDescent="0.25">
      <c r="A100" s="343" t="s">
        <v>1045</v>
      </c>
      <c r="B100" s="343" t="s">
        <v>3</v>
      </c>
      <c r="C100" s="352" t="s">
        <v>78</v>
      </c>
      <c r="D100" s="282">
        <v>41397</v>
      </c>
      <c r="E100" s="343">
        <v>1</v>
      </c>
      <c r="F100" s="323">
        <v>1.30643</v>
      </c>
      <c r="G100" s="370"/>
      <c r="H100" s="358">
        <v>41402</v>
      </c>
      <c r="I100" s="354">
        <v>1.3140000000000001</v>
      </c>
      <c r="J100" s="324">
        <f>SUM(F100-I100)*10000</f>
        <v>-75.70000000000077</v>
      </c>
      <c r="K100" s="329">
        <f t="shared" si="27"/>
        <v>10</v>
      </c>
      <c r="L100" s="351">
        <f>SUM((F100-I100)/J100*K100)*E100</f>
        <v>1E-3</v>
      </c>
      <c r="M100" s="345" t="s">
        <v>885</v>
      </c>
      <c r="N100" s="357">
        <v>1</v>
      </c>
      <c r="O100" s="350">
        <f>SUM(J100*K100)/N100</f>
        <v>-757.00000000000773</v>
      </c>
      <c r="P100" s="373"/>
    </row>
    <row r="101" spans="1:16" s="326" customFormat="1" x14ac:dyDescent="0.25">
      <c r="A101" s="337" t="s">
        <v>1185</v>
      </c>
      <c r="B101" s="337" t="s">
        <v>3</v>
      </c>
      <c r="C101" s="345" t="s">
        <v>53</v>
      </c>
      <c r="D101" s="369">
        <v>41397</v>
      </c>
      <c r="E101" s="337">
        <v>1</v>
      </c>
      <c r="F101" s="93">
        <v>1.56962</v>
      </c>
      <c r="G101" s="366"/>
      <c r="H101" s="358">
        <v>41400</v>
      </c>
      <c r="I101" s="362">
        <v>1.5647</v>
      </c>
      <c r="J101" s="324">
        <f t="shared" ref="J101:J102" si="30">SUM(I101-F101)*10000</f>
        <v>-49.200000000000358</v>
      </c>
      <c r="K101" s="32">
        <f t="shared" si="27"/>
        <v>9.6714604872481775</v>
      </c>
      <c r="L101" s="349">
        <f t="shared" ref="L101:L102" si="31">SUM((I101-F101)/J101*K101)*E101</f>
        <v>9.6714604872481769E-4</v>
      </c>
      <c r="M101" s="345" t="s">
        <v>885</v>
      </c>
      <c r="N101" s="356">
        <v>1.0339700000000001</v>
      </c>
      <c r="O101" s="350">
        <f t="shared" ref="O101" si="32">SUM(J101*K101)/N101</f>
        <v>-460.20276794550495</v>
      </c>
      <c r="P101" s="283"/>
    </row>
    <row r="102" spans="1:16" s="326" customFormat="1" ht="15" customHeight="1" x14ac:dyDescent="0.25">
      <c r="A102" s="337" t="s">
        <v>1041</v>
      </c>
      <c r="B102" s="337" t="s">
        <v>3</v>
      </c>
      <c r="C102" s="345" t="s">
        <v>53</v>
      </c>
      <c r="D102" s="369">
        <v>41397</v>
      </c>
      <c r="E102" s="337">
        <v>1</v>
      </c>
      <c r="F102" s="93">
        <v>1.01024</v>
      </c>
      <c r="G102" s="366"/>
      <c r="H102" s="358">
        <v>41400</v>
      </c>
      <c r="I102" s="362">
        <v>1.0069999999999999</v>
      </c>
      <c r="J102" s="324">
        <f t="shared" si="30"/>
        <v>-32.400000000001313</v>
      </c>
      <c r="K102" s="32">
        <f t="shared" ref="K102" si="33">SUM(100000/N102)/10000</f>
        <v>9.9304865938430993</v>
      </c>
      <c r="L102" s="349">
        <f t="shared" si="31"/>
        <v>9.9304865938431002E-4</v>
      </c>
      <c r="M102" s="345" t="s">
        <v>885</v>
      </c>
      <c r="N102" s="356">
        <f>I102</f>
        <v>1.0069999999999999</v>
      </c>
      <c r="O102" s="350">
        <f t="shared" ref="O102" si="34">SUM(J102*K102)/N102</f>
        <v>-319.51118732922492</v>
      </c>
      <c r="P102" s="283"/>
    </row>
    <row r="103" spans="1:16" s="326" customFormat="1" x14ac:dyDescent="0.25">
      <c r="A103" s="337" t="s">
        <v>1158</v>
      </c>
      <c r="B103" s="337" t="s">
        <v>3</v>
      </c>
      <c r="C103" s="345" t="s">
        <v>53</v>
      </c>
      <c r="D103" s="369">
        <v>41397</v>
      </c>
      <c r="E103" s="337">
        <v>1</v>
      </c>
      <c r="F103" s="93">
        <v>0.93474000000000002</v>
      </c>
      <c r="G103" s="366"/>
      <c r="H103" s="358">
        <v>41402</v>
      </c>
      <c r="I103" s="362">
        <v>0.93659999999999999</v>
      </c>
      <c r="J103" s="324">
        <f>SUM(I103-F103)*10000</f>
        <v>18.599999999999728</v>
      </c>
      <c r="K103" s="32">
        <f t="shared" ref="K103:K107" si="35">SUM(100000/N103)/10000</f>
        <v>10.676916506512919</v>
      </c>
      <c r="L103" s="349">
        <f>SUM((I103-F103)/J103*K103)*E103</f>
        <v>1.0676916506512919E-3</v>
      </c>
      <c r="M103" s="345" t="s">
        <v>885</v>
      </c>
      <c r="N103" s="356">
        <f>I103</f>
        <v>0.93659999999999999</v>
      </c>
      <c r="O103" s="350">
        <f t="shared" ref="O103:O106" si="36">SUM(J103*K103)/N103</f>
        <v>212.03357572190623</v>
      </c>
      <c r="P103" s="373"/>
    </row>
    <row r="104" spans="1:16" s="326" customFormat="1" x14ac:dyDescent="0.25">
      <c r="A104" s="337" t="s">
        <v>1154</v>
      </c>
      <c r="B104" s="337" t="s">
        <v>3</v>
      </c>
      <c r="C104" s="345" t="s">
        <v>53</v>
      </c>
      <c r="D104" s="369">
        <v>41400</v>
      </c>
      <c r="E104" s="337">
        <v>1</v>
      </c>
      <c r="F104" s="93">
        <v>1.2266699999999999</v>
      </c>
      <c r="G104" s="366"/>
      <c r="H104" s="358">
        <v>41410</v>
      </c>
      <c r="I104" s="362">
        <v>1.2384999999999999</v>
      </c>
      <c r="J104" s="324">
        <f>SUM(I104-F104)*10000</f>
        <v>118.30000000000007</v>
      </c>
      <c r="K104" s="32">
        <f t="shared" si="35"/>
        <v>10.366776554498143</v>
      </c>
      <c r="L104" s="349">
        <f>SUM((I104-F104)/J104*K104)*E104</f>
        <v>1.0366776554498144E-3</v>
      </c>
      <c r="M104" s="345" t="s">
        <v>885</v>
      </c>
      <c r="N104" s="356">
        <v>0.96462000000000003</v>
      </c>
      <c r="O104" s="350">
        <f t="shared" si="36"/>
        <v>1271.3707640284579</v>
      </c>
      <c r="P104" s="373"/>
    </row>
    <row r="105" spans="1:16" s="326" customFormat="1" x14ac:dyDescent="0.25">
      <c r="A105" s="337" t="s">
        <v>1042</v>
      </c>
      <c r="B105" s="337" t="s">
        <v>3</v>
      </c>
      <c r="C105" s="345" t="s">
        <v>53</v>
      </c>
      <c r="D105" s="369">
        <v>41400</v>
      </c>
      <c r="E105" s="337">
        <v>1</v>
      </c>
      <c r="F105" s="93">
        <v>1.4555199999999999</v>
      </c>
      <c r="G105" s="366"/>
      <c r="H105" s="358">
        <v>41402</v>
      </c>
      <c r="I105" s="362">
        <v>1.4534</v>
      </c>
      <c r="J105" s="324">
        <f>SUM(I105-F105)*10000</f>
        <v>-21.199999999998997</v>
      </c>
      <c r="K105" s="32">
        <f t="shared" si="35"/>
        <v>10.63648740639891</v>
      </c>
      <c r="L105" s="349">
        <f>SUM((I105-F105)/J105*K105)*E105</f>
        <v>1.0636487406398909E-3</v>
      </c>
      <c r="M105" s="345" t="s">
        <v>885</v>
      </c>
      <c r="N105" s="356">
        <v>0.94016</v>
      </c>
      <c r="O105" s="350">
        <f t="shared" si="36"/>
        <v>-239.8459124145318</v>
      </c>
      <c r="P105" s="373"/>
    </row>
    <row r="106" spans="1:16" s="326" customFormat="1" x14ac:dyDescent="0.25">
      <c r="A106" s="337" t="s">
        <v>1184</v>
      </c>
      <c r="B106" s="337" t="s">
        <v>3</v>
      </c>
      <c r="C106" s="345" t="s">
        <v>53</v>
      </c>
      <c r="D106" s="369">
        <v>41400</v>
      </c>
      <c r="E106" s="337">
        <v>1</v>
      </c>
      <c r="F106" s="93">
        <v>0.85297999999999996</v>
      </c>
      <c r="G106" s="366"/>
      <c r="H106" s="358">
        <v>41401</v>
      </c>
      <c r="I106" s="362">
        <v>0.84848000000000001</v>
      </c>
      <c r="J106" s="324">
        <f>SUM(I106-F106)*10000</f>
        <v>-44.999999999999488</v>
      </c>
      <c r="K106" s="32">
        <f t="shared" si="35"/>
        <v>10</v>
      </c>
      <c r="L106" s="349">
        <f>SUM((I106-F106)/J106*K106)*E106</f>
        <v>1E-3</v>
      </c>
      <c r="M106" s="345" t="s">
        <v>885</v>
      </c>
      <c r="N106" s="356">
        <v>1</v>
      </c>
      <c r="O106" s="350">
        <f t="shared" si="36"/>
        <v>-449.99999999999488</v>
      </c>
      <c r="P106" s="373"/>
    </row>
    <row r="107" spans="1:16" x14ac:dyDescent="0.25">
      <c r="A107" s="343" t="s">
        <v>1188</v>
      </c>
      <c r="B107" s="343" t="s">
        <v>3</v>
      </c>
      <c r="C107" s="352" t="s">
        <v>78</v>
      </c>
      <c r="D107" s="282">
        <v>41401</v>
      </c>
      <c r="E107" s="343">
        <v>1</v>
      </c>
      <c r="F107" s="323">
        <v>1.82494</v>
      </c>
      <c r="G107" s="370"/>
      <c r="H107" s="358">
        <v>41401</v>
      </c>
      <c r="I107" s="354">
        <v>1.8399300000000001</v>
      </c>
      <c r="J107" s="324">
        <f>SUM(F107-I107)*10000</f>
        <v>-149.9000000000006</v>
      </c>
      <c r="K107" s="329">
        <f t="shared" si="35"/>
        <v>8.5126000000000008</v>
      </c>
      <c r="L107" s="351">
        <f>SUM((F107-I107)/J107*K107)*E107</f>
        <v>8.5126000000000006E-4</v>
      </c>
      <c r="M107" s="345" t="s">
        <v>885</v>
      </c>
      <c r="N107" s="357">
        <f>1/0.85126</f>
        <v>1.1747292249136574</v>
      </c>
      <c r="O107" s="350">
        <f>SUM(J107*K107)/N107</f>
        <v>-1086.2407378124044</v>
      </c>
      <c r="P107" s="373"/>
    </row>
    <row r="108" spans="1:16" s="326" customFormat="1" x14ac:dyDescent="0.25">
      <c r="A108" s="281" t="s">
        <v>1178</v>
      </c>
      <c r="B108" s="281" t="s">
        <v>3</v>
      </c>
      <c r="C108" s="316" t="s">
        <v>78</v>
      </c>
      <c r="D108" s="397">
        <v>41402</v>
      </c>
      <c r="E108" s="281">
        <v>1</v>
      </c>
      <c r="F108" s="398">
        <v>105.23099999999999</v>
      </c>
      <c r="G108" s="399"/>
      <c r="H108" s="400">
        <v>41403</v>
      </c>
      <c r="I108" s="401">
        <v>106.114</v>
      </c>
      <c r="J108" s="402">
        <f>SUM(F108-I108)*10000</f>
        <v>-8830.0000000000982</v>
      </c>
      <c r="K108" s="403">
        <f>SUM(100000/N108)/100</f>
        <v>10.102234614296682</v>
      </c>
      <c r="L108" s="404">
        <f>SUM((F108-I108)/J108*K108)*E108</f>
        <v>1.0102234614296681E-3</v>
      </c>
      <c r="M108" s="345" t="s">
        <v>885</v>
      </c>
      <c r="N108" s="405">
        <v>98.988</v>
      </c>
      <c r="O108" s="406">
        <f>SUM(J108*K108)/N108</f>
        <v>-901.14692330626644</v>
      </c>
      <c r="P108" s="373"/>
    </row>
    <row r="109" spans="1:16" s="326" customFormat="1" x14ac:dyDescent="0.25">
      <c r="A109" s="314" t="s">
        <v>1040</v>
      </c>
      <c r="B109" s="314" t="s">
        <v>3</v>
      </c>
      <c r="C109" s="315" t="s">
        <v>53</v>
      </c>
      <c r="D109" s="408">
        <v>41402</v>
      </c>
      <c r="E109" s="314">
        <v>1</v>
      </c>
      <c r="F109" s="409">
        <v>0.84436</v>
      </c>
      <c r="G109" s="410"/>
      <c r="H109" s="400">
        <v>41403</v>
      </c>
      <c r="I109" s="411">
        <v>0.8448</v>
      </c>
      <c r="J109" s="402">
        <f>SUM(I109-F109)*10000</f>
        <v>4.3999999999999595</v>
      </c>
      <c r="K109" s="412">
        <f t="shared" ref="K109" si="37">SUM(100000/N109)/10000</f>
        <v>15.532400000000001</v>
      </c>
      <c r="L109" s="413">
        <f>SUM((I109-F109)/J109*K109)*E109</f>
        <v>1.5532400000000002E-3</v>
      </c>
      <c r="M109" s="345" t="s">
        <v>885</v>
      </c>
      <c r="N109" s="414">
        <f>1/1.55324</f>
        <v>0.64381550822796219</v>
      </c>
      <c r="O109" s="406">
        <f t="shared" ref="O109" si="38">SUM(J109*K109)/N109</f>
        <v>106.15239789439904</v>
      </c>
      <c r="P109" s="373"/>
    </row>
    <row r="110" spans="1:16" s="326" customFormat="1" x14ac:dyDescent="0.25">
      <c r="A110" s="281" t="s">
        <v>1156</v>
      </c>
      <c r="B110" s="281" t="s">
        <v>3</v>
      </c>
      <c r="C110" s="316" t="s">
        <v>78</v>
      </c>
      <c r="D110" s="397">
        <v>41402</v>
      </c>
      <c r="E110" s="281">
        <v>1</v>
      </c>
      <c r="F110" s="398">
        <v>1.51999</v>
      </c>
      <c r="G110" s="399"/>
      <c r="H110" s="400">
        <v>41402</v>
      </c>
      <c r="I110" s="401">
        <v>1.5288900000000001</v>
      </c>
      <c r="J110" s="402">
        <f>SUM(F110-I110)*10000</f>
        <v>-89.000000000001307</v>
      </c>
      <c r="K110" s="403">
        <f>SUM(100000/N110)/10000</f>
        <v>10.183500000000002</v>
      </c>
      <c r="L110" s="404">
        <f>SUM((F110-I110)/J110*K110)*E110</f>
        <v>1.0183500000000001E-3</v>
      </c>
      <c r="M110" s="345" t="s">
        <v>885</v>
      </c>
      <c r="N110" s="405">
        <f>1/1.01835</f>
        <v>0.98198065498109677</v>
      </c>
      <c r="O110" s="406">
        <f>SUM(J110*K110)/N110</f>
        <v>-922.96268302501392</v>
      </c>
      <c r="P110" s="373"/>
    </row>
    <row r="111" spans="1:16" s="326" customFormat="1" x14ac:dyDescent="0.25">
      <c r="A111" s="281" t="s">
        <v>1152</v>
      </c>
      <c r="B111" s="281" t="s">
        <v>3</v>
      </c>
      <c r="C111" s="316" t="s">
        <v>78</v>
      </c>
      <c r="D111" s="397">
        <v>41402</v>
      </c>
      <c r="E111" s="281">
        <v>1</v>
      </c>
      <c r="F111" s="398">
        <v>83.665999999999997</v>
      </c>
      <c r="G111" s="399"/>
      <c r="H111" s="400">
        <v>41403</v>
      </c>
      <c r="I111" s="401">
        <v>83.146000000000001</v>
      </c>
      <c r="J111" s="402">
        <f>SUM(F111-I111)*10000</f>
        <v>5199.99999999996</v>
      </c>
      <c r="K111" s="403">
        <f>SUM(100000/N111)/100</f>
        <v>10.102234614296682</v>
      </c>
      <c r="L111" s="404">
        <f>SUM((F111-I111)/J111*K111)*E111</f>
        <v>1.0102234614296683E-3</v>
      </c>
      <c r="M111" s="345" t="s">
        <v>885</v>
      </c>
      <c r="N111" s="405">
        <v>98.988</v>
      </c>
      <c r="O111" s="406">
        <f>SUM(J111*K111)/N111</f>
        <v>530.6867498519249</v>
      </c>
      <c r="P111" s="373"/>
    </row>
    <row r="112" spans="1:16" s="326" customFormat="1" x14ac:dyDescent="0.25">
      <c r="A112" s="281" t="s">
        <v>1158</v>
      </c>
      <c r="B112" s="281" t="s">
        <v>3</v>
      </c>
      <c r="C112" s="316" t="s">
        <v>78</v>
      </c>
      <c r="D112" s="397">
        <v>41403</v>
      </c>
      <c r="E112" s="281">
        <v>1</v>
      </c>
      <c r="F112" s="398">
        <v>0.93361000000000005</v>
      </c>
      <c r="G112" s="399"/>
      <c r="H112" s="400">
        <v>41403</v>
      </c>
      <c r="I112" s="401">
        <v>0.93635000000000002</v>
      </c>
      <c r="J112" s="402">
        <f>SUM(F112-I112)*10000</f>
        <v>-27.399999999999647</v>
      </c>
      <c r="K112" s="403">
        <f t="shared" ref="K112" si="39">SUM(100000/N112)/10000</f>
        <v>10.679767181075452</v>
      </c>
      <c r="L112" s="404">
        <f>SUM((F112-I112)/J112*K112)*E112</f>
        <v>1.0679767181075452E-3</v>
      </c>
      <c r="M112" s="345" t="s">
        <v>885</v>
      </c>
      <c r="N112" s="405">
        <f>I112</f>
        <v>0.93635000000000002</v>
      </c>
      <c r="O112" s="406">
        <f>SUM(J112*K112)/N112</f>
        <v>-312.51735009501107</v>
      </c>
      <c r="P112" s="373"/>
    </row>
    <row r="113" spans="1:16" s="326" customFormat="1" x14ac:dyDescent="0.25">
      <c r="A113" s="314" t="s">
        <v>1289</v>
      </c>
      <c r="B113" s="314" t="s">
        <v>3</v>
      </c>
      <c r="C113" s="315" t="s">
        <v>53</v>
      </c>
      <c r="D113" s="408">
        <v>41403</v>
      </c>
      <c r="E113" s="314">
        <v>1</v>
      </c>
      <c r="F113" s="409">
        <v>131.024</v>
      </c>
      <c r="G113" s="410"/>
      <c r="H113" s="400">
        <v>41409</v>
      </c>
      <c r="I113" s="411">
        <v>131.31200000000001</v>
      </c>
      <c r="J113" s="402">
        <f>SUM(I113-F113)*10000</f>
        <v>2880.0000000001091</v>
      </c>
      <c r="K113" s="412">
        <f>SUM(100000/N113)/100</f>
        <v>9.7661018604424044</v>
      </c>
      <c r="L113" s="413">
        <f>SUM((I113-F113)/J113*K113)*E113</f>
        <v>9.7661018604424049E-4</v>
      </c>
      <c r="M113" s="345" t="s">
        <v>885</v>
      </c>
      <c r="N113" s="414">
        <v>102.395</v>
      </c>
      <c r="O113" s="406">
        <f t="shared" ref="O113" si="40">SUM(J113*K113)/N113</f>
        <v>274.68502717979578</v>
      </c>
      <c r="P113" s="373"/>
    </row>
    <row r="114" spans="1:16" s="326" customFormat="1" x14ac:dyDescent="0.25">
      <c r="A114" s="415" t="s">
        <v>1045</v>
      </c>
      <c r="B114" s="415" t="s">
        <v>3</v>
      </c>
      <c r="C114" s="416" t="s">
        <v>78</v>
      </c>
      <c r="D114" s="417">
        <v>41404</v>
      </c>
      <c r="E114" s="415">
        <v>1</v>
      </c>
      <c r="F114" s="418"/>
      <c r="G114" s="419"/>
      <c r="H114" s="420">
        <v>41404</v>
      </c>
      <c r="I114" s="421"/>
      <c r="J114" s="422">
        <f>SUM(F114-I114)*10000</f>
        <v>0</v>
      </c>
      <c r="K114" s="423">
        <f>SUM(100000/N114)/10000</f>
        <v>10</v>
      </c>
      <c r="L114" s="424" t="e">
        <f>SUM((F114-I114)/J114*K114)*E114</f>
        <v>#DIV/0!</v>
      </c>
      <c r="M114" s="345" t="s">
        <v>885</v>
      </c>
      <c r="N114" s="425">
        <v>1</v>
      </c>
      <c r="O114" s="426">
        <f>SUM(J114*K114)/N114</f>
        <v>0</v>
      </c>
      <c r="P114" s="373"/>
    </row>
    <row r="115" spans="1:16" s="326" customFormat="1" x14ac:dyDescent="0.25">
      <c r="A115" s="314" t="s">
        <v>1185</v>
      </c>
      <c r="B115" s="314" t="s">
        <v>3</v>
      </c>
      <c r="C115" s="315" t="s">
        <v>53</v>
      </c>
      <c r="D115" s="408">
        <v>41404</v>
      </c>
      <c r="E115" s="314">
        <v>1</v>
      </c>
      <c r="F115" s="409">
        <v>1.5551999999999999</v>
      </c>
      <c r="G115" s="410"/>
      <c r="H115" s="400">
        <v>41404</v>
      </c>
      <c r="I115" s="411">
        <v>1.55179</v>
      </c>
      <c r="J115" s="402">
        <f>SUM(I115-F115)*10000</f>
        <v>-34.099999999999127</v>
      </c>
      <c r="K115" s="412">
        <f t="shared" ref="K115:K117" si="41">SUM(100000/N115)/10000</f>
        <v>9.9355184850321407</v>
      </c>
      <c r="L115" s="413">
        <f>SUM((I115-F115)/J115*K115)*E115</f>
        <v>9.9355184850321416E-4</v>
      </c>
      <c r="M115" s="345" t="s">
        <v>885</v>
      </c>
      <c r="N115" s="414">
        <v>1.0064900000000001</v>
      </c>
      <c r="O115" s="406">
        <f t="shared" ref="O115" si="42">SUM(J115*K115)/N115</f>
        <v>-336.6165390014678</v>
      </c>
      <c r="P115" s="373"/>
    </row>
    <row r="116" spans="1:16" s="326" customFormat="1" x14ac:dyDescent="0.25">
      <c r="A116" s="281" t="s">
        <v>1042</v>
      </c>
      <c r="B116" s="281" t="s">
        <v>3</v>
      </c>
      <c r="C116" s="316" t="s">
        <v>78</v>
      </c>
      <c r="D116" s="397">
        <v>41408</v>
      </c>
      <c r="E116" s="281">
        <v>1</v>
      </c>
      <c r="F116" s="398">
        <v>1.4648699999999999</v>
      </c>
      <c r="G116" s="399"/>
      <c r="H116" s="400">
        <v>41409</v>
      </c>
      <c r="I116" s="401">
        <v>1.47424</v>
      </c>
      <c r="J116" s="402">
        <f>SUM(F116-I116)*10000</f>
        <v>-93.700000000001012</v>
      </c>
      <c r="K116" s="403">
        <f t="shared" si="41"/>
        <v>10.345541071798054</v>
      </c>
      <c r="L116" s="404">
        <f>SUM((F116-I116)/J116*K116)*E116</f>
        <v>1.0345541071798054E-3</v>
      </c>
      <c r="M116" s="345" t="s">
        <v>885</v>
      </c>
      <c r="N116" s="405">
        <v>0.96660000000000001</v>
      </c>
      <c r="O116" s="406">
        <f>SUM(J116*K116)/N116</f>
        <v>-1002.8731620396112</v>
      </c>
      <c r="P116" s="373"/>
    </row>
    <row r="117" spans="1:16" s="326" customFormat="1" x14ac:dyDescent="0.25">
      <c r="A117" s="427" t="s">
        <v>1151</v>
      </c>
      <c r="B117" s="427" t="s">
        <v>3</v>
      </c>
      <c r="C117" s="428" t="s">
        <v>53</v>
      </c>
      <c r="D117" s="429">
        <v>41409</v>
      </c>
      <c r="E117" s="427">
        <v>1</v>
      </c>
      <c r="F117" s="430"/>
      <c r="G117" s="431"/>
      <c r="H117" s="420">
        <v>41411</v>
      </c>
      <c r="I117" s="432"/>
      <c r="J117" s="422">
        <f>SUM(I117-F117)*10000</f>
        <v>0</v>
      </c>
      <c r="K117" s="433">
        <f t="shared" si="41"/>
        <v>9.811424422597673</v>
      </c>
      <c r="L117" s="434" t="e">
        <f>SUM((I117-F117)/J117*K117)*E117</f>
        <v>#DIV/0!</v>
      </c>
      <c r="M117" s="345" t="s">
        <v>885</v>
      </c>
      <c r="N117" s="435">
        <v>1.01922</v>
      </c>
      <c r="O117" s="426">
        <f t="shared" ref="O117" si="43">SUM(J117*K117)/N117</f>
        <v>0</v>
      </c>
      <c r="P117" s="373"/>
    </row>
    <row r="118" spans="1:16" x14ac:dyDescent="0.25">
      <c r="A118" s="314" t="s">
        <v>1153</v>
      </c>
      <c r="B118" s="314" t="s">
        <v>3</v>
      </c>
      <c r="C118" s="315" t="s">
        <v>53</v>
      </c>
      <c r="D118" s="408">
        <v>41415</v>
      </c>
      <c r="E118" s="314">
        <v>1</v>
      </c>
      <c r="F118" s="409">
        <v>1.00735</v>
      </c>
      <c r="G118" s="410"/>
      <c r="H118" s="400">
        <v>41416</v>
      </c>
      <c r="I118" s="411">
        <v>1.0005200000000001</v>
      </c>
      <c r="J118" s="402">
        <f>SUM(I118-F118)*10000</f>
        <v>-68.299999999998917</v>
      </c>
      <c r="K118" s="412">
        <f>SUM(100000/N118)/10000</f>
        <v>9.7405127405906651</v>
      </c>
      <c r="L118" s="413">
        <f>SUM((I118-F118)/J118*K118)*E118</f>
        <v>9.7405127405906654E-4</v>
      </c>
      <c r="M118" s="345" t="s">
        <v>885</v>
      </c>
      <c r="N118" s="414">
        <v>1.02664</v>
      </c>
      <c r="O118" s="406">
        <f>SUM(J118*K118)/N118</f>
        <v>-648.01392911081962</v>
      </c>
    </row>
    <row r="119" spans="1:16" x14ac:dyDescent="0.25">
      <c r="A119" s="314" t="s">
        <v>1184</v>
      </c>
      <c r="B119" s="314" t="s">
        <v>3</v>
      </c>
      <c r="C119" s="315" t="s">
        <v>53</v>
      </c>
      <c r="D119" s="408">
        <v>41415</v>
      </c>
      <c r="E119" s="314">
        <v>1</v>
      </c>
      <c r="F119" s="409">
        <v>0.81925000000000003</v>
      </c>
      <c r="G119" s="410"/>
      <c r="H119" s="400">
        <v>41416</v>
      </c>
      <c r="I119" s="411">
        <v>0.81174999999999997</v>
      </c>
      <c r="J119" s="402">
        <f>SUM(I119-F119)*10000</f>
        <v>-75.000000000000625</v>
      </c>
      <c r="K119" s="412">
        <f>SUM(100000/N119)/10000</f>
        <v>10</v>
      </c>
      <c r="L119" s="413">
        <f>SUM((I119-F119)/J119*K119)*E119</f>
        <v>1E-3</v>
      </c>
      <c r="M119" s="345" t="s">
        <v>885</v>
      </c>
      <c r="N119" s="414">
        <v>1</v>
      </c>
      <c r="O119" s="406">
        <f>SUM(J119*K119)/N119</f>
        <v>-750.00000000000625</v>
      </c>
    </row>
    <row r="120" spans="1:16" x14ac:dyDescent="0.25">
      <c r="A120" s="314" t="s">
        <v>1155</v>
      </c>
      <c r="B120" s="314" t="s">
        <v>3</v>
      </c>
      <c r="C120" s="315" t="s">
        <v>53</v>
      </c>
      <c r="D120" s="408">
        <v>41415</v>
      </c>
      <c r="E120" s="314">
        <v>1</v>
      </c>
      <c r="F120" s="409">
        <v>0.94920000000000004</v>
      </c>
      <c r="G120" s="410"/>
      <c r="H120" s="400">
        <v>41417</v>
      </c>
      <c r="I120" s="411">
        <v>0.94460999999999995</v>
      </c>
      <c r="J120" s="402">
        <f>SUM(I120-F120)*10000</f>
        <v>-45.900000000000944</v>
      </c>
      <c r="K120" s="412">
        <f>SUM(100000/N120)/10000</f>
        <v>9.694901451326747E-2</v>
      </c>
      <c r="L120" s="413">
        <f>SUM((I120-F120)/J120*K120)*E120</f>
        <v>9.6949014513267459E-6</v>
      </c>
      <c r="M120" s="345" t="s">
        <v>885</v>
      </c>
      <c r="N120" s="414">
        <v>103.14700000000001</v>
      </c>
      <c r="O120" s="406">
        <f>SUM(J120*K120)/N120</f>
        <v>-4.3141921395281183E-2</v>
      </c>
      <c r="P120" s="373"/>
    </row>
    <row r="121" spans="1:16" x14ac:dyDescent="0.25">
      <c r="A121" s="314" t="s">
        <v>1069</v>
      </c>
      <c r="B121" s="314" t="s">
        <v>3</v>
      </c>
      <c r="C121" s="315" t="s">
        <v>53</v>
      </c>
      <c r="D121" s="408">
        <v>41415</v>
      </c>
      <c r="E121" s="314">
        <v>1</v>
      </c>
      <c r="F121" s="409">
        <v>0.98304999999999998</v>
      </c>
      <c r="G121" s="410"/>
      <c r="H121" s="400">
        <v>41416</v>
      </c>
      <c r="I121" s="411">
        <v>0.97369000000000006</v>
      </c>
      <c r="J121" s="402">
        <f>SUM(I121-F121)*10000</f>
        <v>-93.599999999999241</v>
      </c>
      <c r="K121" s="412">
        <f>SUM(100000/N121)/10000</f>
        <v>10</v>
      </c>
      <c r="L121" s="413">
        <f>SUM((I121-F121)/J121*K121)*E121</f>
        <v>1E-3</v>
      </c>
      <c r="M121" s="345" t="s">
        <v>885</v>
      </c>
      <c r="N121" s="414">
        <v>1</v>
      </c>
      <c r="O121" s="406">
        <f>SUM(J121*K121)/N121</f>
        <v>-935.99999999999238</v>
      </c>
    </row>
    <row r="122" spans="1:16" x14ac:dyDescent="0.25">
      <c r="A122" s="281" t="s">
        <v>1156</v>
      </c>
      <c r="B122" s="281" t="s">
        <v>3</v>
      </c>
      <c r="C122" s="316" t="s">
        <v>78</v>
      </c>
      <c r="D122" s="397">
        <v>41415</v>
      </c>
      <c r="E122" s="281">
        <v>1</v>
      </c>
      <c r="F122" s="398">
        <v>1.552</v>
      </c>
      <c r="G122" s="399"/>
      <c r="H122" s="400">
        <v>41417</v>
      </c>
      <c r="I122" s="401">
        <v>1.5659799999999999</v>
      </c>
      <c r="J122" s="402">
        <f>SUM(F122-I122)*10000</f>
        <v>-139.79999999999882</v>
      </c>
      <c r="K122" s="403">
        <f t="shared" ref="K122" si="44">SUM(100000/N122)/10000</f>
        <v>9.6984999999999992</v>
      </c>
      <c r="L122" s="404">
        <f>SUM((F122-I122)/J122*K122)*E122</f>
        <v>9.6984999999999986E-4</v>
      </c>
      <c r="M122" s="345" t="s">
        <v>885</v>
      </c>
      <c r="N122" s="405">
        <f>1/0.96985</f>
        <v>1.0310872815383822</v>
      </c>
      <c r="O122" s="406">
        <f>SUM(J122*K122)/N122</f>
        <v>-1314.9714134549888</v>
      </c>
    </row>
    <row r="123" spans="1:16" x14ac:dyDescent="0.25">
      <c r="A123" s="314" t="s">
        <v>1157</v>
      </c>
      <c r="B123" s="314" t="s">
        <v>3</v>
      </c>
      <c r="C123" s="315" t="s">
        <v>53</v>
      </c>
      <c r="D123" s="408">
        <v>41421</v>
      </c>
      <c r="E123" s="314">
        <v>1</v>
      </c>
      <c r="F123" s="409">
        <v>1.514</v>
      </c>
      <c r="G123" s="410"/>
      <c r="H123" s="400">
        <v>41422</v>
      </c>
      <c r="I123" s="411">
        <v>1.5063</v>
      </c>
      <c r="J123" s="402">
        <f>SUM(I123-F123)*10000</f>
        <v>-77.000000000000398</v>
      </c>
      <c r="K123" s="412">
        <f>SUM(100000/N123)/10000</f>
        <v>10</v>
      </c>
      <c r="L123" s="413">
        <f>SUM((I123-F123)/J123*K123)*E123</f>
        <v>1E-3</v>
      </c>
      <c r="M123" s="345" t="s">
        <v>885</v>
      </c>
      <c r="N123" s="414">
        <v>1</v>
      </c>
      <c r="O123" s="406">
        <f t="shared" ref="O123" si="45">SUM(J123*K123)/N123</f>
        <v>-770.00000000000398</v>
      </c>
    </row>
    <row r="124" spans="1:16" x14ac:dyDescent="0.25">
      <c r="A124" s="281" t="s">
        <v>1070</v>
      </c>
      <c r="B124" s="281" t="s">
        <v>3</v>
      </c>
      <c r="C124" s="316" t="s">
        <v>78</v>
      </c>
      <c r="D124" s="397">
        <v>41421</v>
      </c>
      <c r="E124" s="281">
        <v>1</v>
      </c>
      <c r="F124" s="398">
        <v>1.262</v>
      </c>
      <c r="G124" s="399"/>
      <c r="H124" s="400">
        <v>41422</v>
      </c>
      <c r="I124" s="401">
        <v>1.2663</v>
      </c>
      <c r="J124" s="402">
        <f>SUM(F124-I124)*10000</f>
        <v>-42.999999999999702</v>
      </c>
      <c r="K124" s="403">
        <f t="shared" ref="K124" si="46">SUM(100000/N124)/10000</f>
        <v>7.8970228223959564</v>
      </c>
      <c r="L124" s="404">
        <f>SUM((F124-I124)/J124*K124)*E124</f>
        <v>7.8970228223959572E-4</v>
      </c>
      <c r="M124" s="345" t="s">
        <v>885</v>
      </c>
      <c r="N124" s="405">
        <f>I124</f>
        <v>1.2663</v>
      </c>
      <c r="O124" s="406">
        <f>SUM(J124*K124)/N124</f>
        <v>-268.16076866700132</v>
      </c>
    </row>
    <row r="125" spans="1:16" x14ac:dyDescent="0.25">
      <c r="A125" s="314" t="s">
        <v>1045</v>
      </c>
      <c r="B125" s="314" t="s">
        <v>3</v>
      </c>
      <c r="C125" s="315" t="s">
        <v>53</v>
      </c>
      <c r="D125" s="408">
        <v>41415</v>
      </c>
      <c r="E125" s="314">
        <v>1</v>
      </c>
      <c r="F125" s="409">
        <v>1.2905500000000001</v>
      </c>
      <c r="G125" s="410"/>
      <c r="H125" s="400">
        <v>41422</v>
      </c>
      <c r="I125" s="411">
        <v>1.2915000000000001</v>
      </c>
      <c r="J125" s="402">
        <f>SUM(I125-F125)*10000</f>
        <v>9.5000000000000639</v>
      </c>
      <c r="K125" s="412">
        <f>SUM(100000/N125)/10000</f>
        <v>10</v>
      </c>
      <c r="L125" s="413">
        <f>SUM((I125-F125)/J125*K125)*E125</f>
        <v>1E-3</v>
      </c>
      <c r="M125" s="345" t="s">
        <v>885</v>
      </c>
      <c r="N125" s="414">
        <v>1</v>
      </c>
      <c r="O125" s="406">
        <f t="shared" ref="O125:O154" si="47">SUM(J125*K125)/N125</f>
        <v>95.000000000000639</v>
      </c>
    </row>
    <row r="126" spans="1:16" x14ac:dyDescent="0.25">
      <c r="A126" s="281" t="s">
        <v>1042</v>
      </c>
      <c r="B126" s="281" t="s">
        <v>3</v>
      </c>
      <c r="C126" s="316" t="s">
        <v>78</v>
      </c>
      <c r="D126" s="397">
        <v>41425</v>
      </c>
      <c r="E126" s="281">
        <v>1</v>
      </c>
      <c r="F126" s="398">
        <v>1.4497</v>
      </c>
      <c r="G126" s="399"/>
      <c r="H126" s="400">
        <v>41428</v>
      </c>
      <c r="I126" s="401">
        <v>1.46254</v>
      </c>
      <c r="J126" s="402">
        <f>SUM(F126-I126)*10000</f>
        <v>-128.39999999999964</v>
      </c>
      <c r="K126" s="403">
        <f t="shared" ref="K126" si="48">SUM(100000/N126)/10000</f>
        <v>10.462549304763598</v>
      </c>
      <c r="L126" s="404">
        <f>SUM((F126-I126)/J126*K126)*E126</f>
        <v>1.0462549304763597E-3</v>
      </c>
      <c r="M126" s="345" t="s">
        <v>885</v>
      </c>
      <c r="N126" s="405">
        <v>0.95579000000000003</v>
      </c>
      <c r="O126" s="406">
        <f t="shared" si="47"/>
        <v>-1405.5298033371789</v>
      </c>
    </row>
    <row r="127" spans="1:16" x14ac:dyDescent="0.25">
      <c r="A127" s="314" t="s">
        <v>1159</v>
      </c>
      <c r="B127" s="314" t="s">
        <v>3</v>
      </c>
      <c r="C127" s="315" t="s">
        <v>53</v>
      </c>
      <c r="D127" s="408">
        <v>41425</v>
      </c>
      <c r="E127" s="314">
        <v>1</v>
      </c>
      <c r="F127" s="409">
        <v>1.1987000000000001</v>
      </c>
      <c r="G127" s="410"/>
      <c r="H127" s="400">
        <v>41430</v>
      </c>
      <c r="I127" s="411">
        <v>1.2033199999999999</v>
      </c>
      <c r="J127" s="402">
        <f>SUM(I127-F127)*10000</f>
        <v>46.199999999998468</v>
      </c>
      <c r="K127" s="412">
        <f>SUM(100000/N127)/10000</f>
        <v>8.0157000000000007</v>
      </c>
      <c r="L127" s="413">
        <f>SUM((I127-F127)/J127*K127)*E127</f>
        <v>8.0157000000000004E-4</v>
      </c>
      <c r="M127" s="345" t="s">
        <v>885</v>
      </c>
      <c r="N127" s="411">
        <f>1/0.80157</f>
        <v>1.2475516798283368</v>
      </c>
      <c r="O127" s="406">
        <f t="shared" si="47"/>
        <v>296.84168278379019</v>
      </c>
    </row>
    <row r="128" spans="1:16" x14ac:dyDescent="0.25">
      <c r="A128" s="314" t="s">
        <v>1069</v>
      </c>
      <c r="B128" s="314" t="s">
        <v>3</v>
      </c>
      <c r="C128" s="315" t="s">
        <v>53</v>
      </c>
      <c r="D128" s="408">
        <v>41428</v>
      </c>
      <c r="E128" s="314">
        <v>1</v>
      </c>
      <c r="F128" s="409">
        <v>0.9698</v>
      </c>
      <c r="G128" s="410"/>
      <c r="H128" s="400">
        <v>41431</v>
      </c>
      <c r="I128" s="411">
        <v>0.95240000000000002</v>
      </c>
      <c r="J128" s="402">
        <f>SUM(I128-F128)*10000</f>
        <v>-173.99999999999972</v>
      </c>
      <c r="K128" s="412">
        <f>SUM(100000/N128)/10000</f>
        <v>10</v>
      </c>
      <c r="L128" s="413">
        <f>SUM((I128-F128)/J128*K128)*E128</f>
        <v>1E-3</v>
      </c>
      <c r="M128" s="345" t="s">
        <v>885</v>
      </c>
      <c r="N128" s="411">
        <v>1</v>
      </c>
      <c r="O128" s="406">
        <f t="shared" si="47"/>
        <v>-1739.9999999999973</v>
      </c>
    </row>
    <row r="129" spans="1:16" x14ac:dyDescent="0.25">
      <c r="A129" s="314" t="s">
        <v>1167</v>
      </c>
      <c r="B129" s="314" t="s">
        <v>3</v>
      </c>
      <c r="C129" s="315" t="s">
        <v>53</v>
      </c>
      <c r="D129" s="408">
        <v>41435</v>
      </c>
      <c r="E129" s="314">
        <v>1</v>
      </c>
      <c r="F129" s="409">
        <v>93.28</v>
      </c>
      <c r="G129" s="410"/>
      <c r="H129" s="400">
        <v>41436</v>
      </c>
      <c r="I129" s="411">
        <v>92.15</v>
      </c>
      <c r="J129" s="402">
        <f>SUM(I129-F129)*10000</f>
        <v>-11299.999999999955</v>
      </c>
      <c r="K129" s="412">
        <f>SUM(100000/N129)/100</f>
        <v>10.125967029851351</v>
      </c>
      <c r="L129" s="413">
        <f>SUM((I129-F129)/J129*K129)*E129</f>
        <v>1.0125967029851351E-3</v>
      </c>
      <c r="M129" s="345" t="s">
        <v>885</v>
      </c>
      <c r="N129" s="414">
        <v>98.756</v>
      </c>
      <c r="O129" s="406">
        <f t="shared" si="47"/>
        <v>-1158.6478536728887</v>
      </c>
    </row>
    <row r="130" spans="1:16" x14ac:dyDescent="0.25">
      <c r="A130" s="314" t="s">
        <v>1160</v>
      </c>
      <c r="B130" s="314" t="s">
        <v>3</v>
      </c>
      <c r="C130" s="315" t="s">
        <v>53</v>
      </c>
      <c r="D130" s="408">
        <v>41435</v>
      </c>
      <c r="E130" s="314">
        <v>1</v>
      </c>
      <c r="F130" s="409">
        <v>0.91854999999999998</v>
      </c>
      <c r="G130" s="410"/>
      <c r="H130" s="400">
        <v>41436</v>
      </c>
      <c r="I130" s="411">
        <v>0.9133</v>
      </c>
      <c r="J130" s="402">
        <f>SUM(I130-F130)*10000</f>
        <v>-52.499999999999773</v>
      </c>
      <c r="K130" s="412">
        <f>SUM(100000/N130)/10000</f>
        <v>10.713864812453796</v>
      </c>
      <c r="L130" s="413">
        <f>SUM((I130-F130)/J130*K130)*E130</f>
        <v>1.0713864812453794E-3</v>
      </c>
      <c r="M130" s="345" t="s">
        <v>885</v>
      </c>
      <c r="N130" s="414">
        <v>0.93337000000000003</v>
      </c>
      <c r="O130" s="406">
        <f t="shared" si="47"/>
        <v>-602.63122090255933</v>
      </c>
    </row>
    <row r="131" spans="1:16" x14ac:dyDescent="0.25">
      <c r="A131" s="314" t="s">
        <v>1161</v>
      </c>
      <c r="B131" s="314" t="s">
        <v>3</v>
      </c>
      <c r="C131" s="315" t="s">
        <v>53</v>
      </c>
      <c r="D131" s="408">
        <v>41435</v>
      </c>
      <c r="E131" s="314">
        <v>1</v>
      </c>
      <c r="F131" s="409">
        <v>96.53</v>
      </c>
      <c r="G131" s="410"/>
      <c r="H131" s="400">
        <v>41437</v>
      </c>
      <c r="I131" s="411">
        <v>95.635999999999996</v>
      </c>
      <c r="J131" s="402">
        <f>SUM(I131-F131)*10000</f>
        <v>-8940.0000000000546</v>
      </c>
      <c r="K131" s="412">
        <f>SUM(100000/N131)/100</f>
        <v>10.416449657298806</v>
      </c>
      <c r="L131" s="413">
        <f>SUM((I131-F131)/J131*K131)*E131</f>
        <v>1.0416449657298806E-3</v>
      </c>
      <c r="M131" s="345" t="s">
        <v>885</v>
      </c>
      <c r="N131" s="414">
        <v>96.001999999999995</v>
      </c>
      <c r="O131" s="406">
        <f t="shared" si="47"/>
        <v>-970.01166575958723</v>
      </c>
    </row>
    <row r="132" spans="1:16" x14ac:dyDescent="0.25">
      <c r="A132" s="281" t="s">
        <v>1151</v>
      </c>
      <c r="B132" s="281" t="s">
        <v>3</v>
      </c>
      <c r="C132" s="316" t="s">
        <v>78</v>
      </c>
      <c r="D132" s="397">
        <v>41435</v>
      </c>
      <c r="E132" s="281">
        <v>1</v>
      </c>
      <c r="F132" s="398">
        <v>1.3443000000000001</v>
      </c>
      <c r="G132" s="399"/>
      <c r="H132" s="400">
        <v>41437</v>
      </c>
      <c r="I132" s="401">
        <v>1.3539000000000001</v>
      </c>
      <c r="J132" s="402">
        <f>SUM(F132-I132)*10000</f>
        <v>-96.000000000000526</v>
      </c>
      <c r="K132" s="403">
        <f t="shared" ref="K132:K133" si="49">SUM(100000/N132)/10000</f>
        <v>9.8169145437588963</v>
      </c>
      <c r="L132" s="404">
        <f>SUM((F132-I132)/J132*K132)*E132</f>
        <v>9.8169145437588959E-4</v>
      </c>
      <c r="M132" s="345" t="s">
        <v>885</v>
      </c>
      <c r="N132" s="405">
        <v>1.0186500000000001</v>
      </c>
      <c r="O132" s="406">
        <f t="shared" si="47"/>
        <v>-925.16938713086847</v>
      </c>
    </row>
    <row r="133" spans="1:16" x14ac:dyDescent="0.25">
      <c r="A133" s="281" t="s">
        <v>1185</v>
      </c>
      <c r="B133" s="281" t="s">
        <v>3</v>
      </c>
      <c r="C133" s="316" t="s">
        <v>78</v>
      </c>
      <c r="D133" s="397">
        <v>41435</v>
      </c>
      <c r="E133" s="281">
        <v>1</v>
      </c>
      <c r="F133" s="398">
        <v>1.579</v>
      </c>
      <c r="G133" s="399"/>
      <c r="H133" s="400">
        <v>41438</v>
      </c>
      <c r="I133" s="401">
        <v>1.59378</v>
      </c>
      <c r="J133" s="402">
        <f>SUM(F133-I133)*10000</f>
        <v>-147.80000000000015</v>
      </c>
      <c r="K133" s="403">
        <f t="shared" si="49"/>
        <v>9.7955665265900667</v>
      </c>
      <c r="L133" s="404">
        <f>SUM((F133-I133)/J133*K133)*E133</f>
        <v>9.7955665265900662E-4</v>
      </c>
      <c r="M133" s="345" t="s">
        <v>885</v>
      </c>
      <c r="N133" s="405">
        <v>1.0208699999999999</v>
      </c>
      <c r="O133" s="406">
        <f t="shared" si="47"/>
        <v>-1418.1871664658709</v>
      </c>
    </row>
    <row r="134" spans="1:16" x14ac:dyDescent="0.25">
      <c r="A134" s="427" t="s">
        <v>1158</v>
      </c>
      <c r="B134" s="427" t="s">
        <v>3</v>
      </c>
      <c r="C134" s="428" t="s">
        <v>53</v>
      </c>
      <c r="D134" s="429">
        <v>41444</v>
      </c>
      <c r="E134" s="427">
        <v>1</v>
      </c>
      <c r="F134" s="430">
        <v>0.92727999999999999</v>
      </c>
      <c r="G134" s="431"/>
      <c r="H134" s="436">
        <v>41446</v>
      </c>
      <c r="I134" s="432">
        <v>0.92510000000000003</v>
      </c>
      <c r="J134" s="422">
        <f>SUM(I134-F134)*10000</f>
        <v>-21.799999999999599</v>
      </c>
      <c r="K134" s="433">
        <f>SUM(100000/N134)/10000</f>
        <v>10.809642200843152</v>
      </c>
      <c r="L134" s="434">
        <f>SUM((I134-F134)/J134*K134)*E134</f>
        <v>1.0809642200843152E-3</v>
      </c>
      <c r="M134" s="345" t="s">
        <v>885</v>
      </c>
      <c r="N134" s="435">
        <f>I134</f>
        <v>0.92510000000000003</v>
      </c>
      <c r="O134" s="426">
        <f t="shared" si="47"/>
        <v>-254.72943463233852</v>
      </c>
      <c r="P134" s="373"/>
    </row>
    <row r="135" spans="1:16" x14ac:dyDescent="0.25">
      <c r="A135" s="337" t="s">
        <v>1188</v>
      </c>
      <c r="B135" s="337" t="s">
        <v>3</v>
      </c>
      <c r="C135" s="345" t="s">
        <v>53</v>
      </c>
      <c r="D135" s="369">
        <v>41445</v>
      </c>
      <c r="E135" s="337">
        <v>1</v>
      </c>
      <c r="F135" s="93">
        <v>1.9712000000000001</v>
      </c>
      <c r="G135" s="366"/>
      <c r="H135" s="319">
        <v>41446</v>
      </c>
      <c r="I135" s="362">
        <v>1.9886999999999999</v>
      </c>
      <c r="J135" s="324">
        <f>SUM(I135-F135)*10000</f>
        <v>174.99999999999849</v>
      </c>
      <c r="K135" s="32">
        <f>SUM(100000/N135)/10000</f>
        <v>7.7545999999999999</v>
      </c>
      <c r="L135" s="349">
        <f>SUM((I135-F135)/J135*K135)*E135</f>
        <v>7.7545999999999995E-4</v>
      </c>
      <c r="M135" s="345" t="s">
        <v>885</v>
      </c>
      <c r="N135" s="356">
        <f>1/0.77546</f>
        <v>1.2895571660691718</v>
      </c>
      <c r="O135" s="350">
        <f t="shared" si="47"/>
        <v>1052.3418702999909</v>
      </c>
      <c r="P135" s="373"/>
    </row>
    <row r="136" spans="1:16" x14ac:dyDescent="0.25">
      <c r="A136" s="337" t="s">
        <v>1041</v>
      </c>
      <c r="B136" s="337" t="s">
        <v>3</v>
      </c>
      <c r="C136" s="345" t="s">
        <v>53</v>
      </c>
      <c r="D136" s="369">
        <v>41444</v>
      </c>
      <c r="E136" s="337">
        <v>1</v>
      </c>
      <c r="F136" s="93">
        <v>1.0251999999999999</v>
      </c>
      <c r="G136" s="366"/>
      <c r="H136" s="319">
        <v>41450</v>
      </c>
      <c r="I136" s="362">
        <v>1.04643</v>
      </c>
      <c r="J136" s="324">
        <f>SUM(I136-F136)*10000</f>
        <v>212.30000000000081</v>
      </c>
      <c r="K136" s="32">
        <f>SUM(100000/N136)/10000</f>
        <v>9.556300947029424</v>
      </c>
      <c r="L136" s="349">
        <f>SUM((I136-F136)/J136*K136)*E136</f>
        <v>9.5563009470294249E-4</v>
      </c>
      <c r="M136" s="345" t="s">
        <v>885</v>
      </c>
      <c r="N136" s="356">
        <f>I136</f>
        <v>1.04643</v>
      </c>
      <c r="O136" s="350">
        <f t="shared" si="47"/>
        <v>1938.7849077858571</v>
      </c>
      <c r="P136" s="373"/>
    </row>
    <row r="137" spans="1:16" x14ac:dyDescent="0.25">
      <c r="A137" s="343" t="s">
        <v>1045</v>
      </c>
      <c r="B137" s="343" t="s">
        <v>3</v>
      </c>
      <c r="C137" s="352" t="s">
        <v>78</v>
      </c>
      <c r="D137" s="282">
        <v>41445</v>
      </c>
      <c r="E137" s="343">
        <v>1</v>
      </c>
      <c r="F137" s="323">
        <v>1.3257000000000001</v>
      </c>
      <c r="G137" s="370"/>
      <c r="H137" s="319">
        <v>41450</v>
      </c>
      <c r="I137" s="354">
        <v>1.3137000000000001</v>
      </c>
      <c r="J137" s="324">
        <f>SUM(F137-I137)*10000</f>
        <v>120.00000000000011</v>
      </c>
      <c r="K137" s="329">
        <f t="shared" ref="K137" si="50">SUM(100000/N137)/10000</f>
        <v>10</v>
      </c>
      <c r="L137" s="351">
        <f>SUM((F137-I137)/J137*K137)*E137</f>
        <v>1E-3</v>
      </c>
      <c r="M137" s="345" t="s">
        <v>885</v>
      </c>
      <c r="N137" s="357">
        <v>1</v>
      </c>
      <c r="O137" s="350">
        <f t="shared" si="47"/>
        <v>1200.0000000000011</v>
      </c>
      <c r="P137" s="283"/>
    </row>
    <row r="138" spans="1:16" x14ac:dyDescent="0.25">
      <c r="A138" s="337" t="s">
        <v>1155</v>
      </c>
      <c r="B138" s="337" t="s">
        <v>3</v>
      </c>
      <c r="C138" s="345" t="s">
        <v>53</v>
      </c>
      <c r="D138" s="369">
        <v>41451</v>
      </c>
      <c r="E138" s="337">
        <v>1</v>
      </c>
      <c r="F138" s="93">
        <v>0.87860000000000005</v>
      </c>
      <c r="G138" s="366"/>
      <c r="H138" s="319">
        <v>41453</v>
      </c>
      <c r="I138" s="362">
        <v>0.87634999999999996</v>
      </c>
      <c r="J138" s="324">
        <f>SUM(I138-F138)*10000</f>
        <v>-22.500000000000853</v>
      </c>
      <c r="K138" s="32">
        <f>SUM(100000/N138)/10000</f>
        <v>10.579771476936097</v>
      </c>
      <c r="L138" s="349">
        <f>SUM((I138-F138)/J138*K138)*E138</f>
        <v>1.0579771476936098E-3</v>
      </c>
      <c r="M138" s="345" t="s">
        <v>885</v>
      </c>
      <c r="N138" s="356">
        <v>0.94520000000000004</v>
      </c>
      <c r="O138" s="350">
        <f t="shared" si="47"/>
        <v>-251.84602013443842</v>
      </c>
      <c r="P138" s="373"/>
    </row>
    <row r="139" spans="1:16" x14ac:dyDescent="0.25">
      <c r="A139" s="337" t="s">
        <v>1159</v>
      </c>
      <c r="B139" s="337" t="s">
        <v>3</v>
      </c>
      <c r="C139" s="345" t="s">
        <v>53</v>
      </c>
      <c r="D139" s="369">
        <v>41449</v>
      </c>
      <c r="E139" s="337">
        <v>1</v>
      </c>
      <c r="F139" s="93">
        <v>1.1952</v>
      </c>
      <c r="G139" s="366"/>
      <c r="H139" s="319">
        <v>41453</v>
      </c>
      <c r="I139" s="362">
        <v>1.1854</v>
      </c>
      <c r="J139" s="324">
        <f>SUM(I139-F139)*10000</f>
        <v>-98.000000000000313</v>
      </c>
      <c r="K139" s="32">
        <f>SUM(100000/N139)/10000</f>
        <v>7.7934000000000019</v>
      </c>
      <c r="L139" s="349">
        <f>SUM((I139-F139)/J139*K139)*E139</f>
        <v>7.7934000000000011E-4</v>
      </c>
      <c r="M139" s="345" t="s">
        <v>885</v>
      </c>
      <c r="N139" s="356">
        <f>1/0.77934</f>
        <v>1.2831370133702875</v>
      </c>
      <c r="O139" s="350">
        <f t="shared" si="47"/>
        <v>-595.22341888800213</v>
      </c>
    </row>
    <row r="140" spans="1:16" x14ac:dyDescent="0.25">
      <c r="A140" s="337" t="s">
        <v>1167</v>
      </c>
      <c r="B140" s="337" t="s">
        <v>3</v>
      </c>
      <c r="C140" s="345" t="s">
        <v>53</v>
      </c>
      <c r="D140" s="369">
        <v>41452</v>
      </c>
      <c r="E140" s="337">
        <v>1</v>
      </c>
      <c r="F140" s="93">
        <v>91.51</v>
      </c>
      <c r="G140" s="366"/>
      <c r="H140" s="319">
        <v>41458</v>
      </c>
      <c r="I140" s="362">
        <v>90.381</v>
      </c>
      <c r="J140" s="324">
        <f>SUM(I140-F140)*10000</f>
        <v>-11290.000000000049</v>
      </c>
      <c r="K140" s="32">
        <f>SUM(100000/N140)/100</f>
        <v>9.9386783545524118</v>
      </c>
      <c r="L140" s="349">
        <f>SUM((I140-F140)/J140*K140)*E140</f>
        <v>9.9386783545524107E-4</v>
      </c>
      <c r="M140" s="345" t="s">
        <v>885</v>
      </c>
      <c r="N140" s="356">
        <v>100.617</v>
      </c>
      <c r="O140" s="350">
        <f t="shared" si="47"/>
        <v>-1115.196026743962</v>
      </c>
    </row>
    <row r="141" spans="1:16" x14ac:dyDescent="0.25">
      <c r="A141" s="343" t="s">
        <v>1129</v>
      </c>
      <c r="B141" s="343" t="s">
        <v>3</v>
      </c>
      <c r="C141" s="352" t="s">
        <v>78</v>
      </c>
      <c r="D141" s="282">
        <v>41450</v>
      </c>
      <c r="E141" s="343">
        <v>1</v>
      </c>
      <c r="F141" s="323">
        <v>1.4118999999999999</v>
      </c>
      <c r="G141" s="370"/>
      <c r="H141" s="319">
        <v>41458</v>
      </c>
      <c r="I141" s="354">
        <v>1.4314</v>
      </c>
      <c r="J141" s="324">
        <f>SUM(F141-I141)*10000</f>
        <v>-195.00000000000074</v>
      </c>
      <c r="K141" s="329">
        <f t="shared" ref="K141" si="51">SUM(100000/N141)/10000</f>
        <v>9.1456999999999979</v>
      </c>
      <c r="L141" s="351">
        <f>SUM((F141-I141)/J141*K141)*E141</f>
        <v>9.1456999999999975E-4</v>
      </c>
      <c r="M141" s="345" t="s">
        <v>885</v>
      </c>
      <c r="N141" s="357">
        <f>1/0.91457</f>
        <v>1.0934100178225834</v>
      </c>
      <c r="O141" s="350">
        <f t="shared" si="47"/>
        <v>-1631.0546555550056</v>
      </c>
      <c r="P141" s="283"/>
    </row>
    <row r="142" spans="1:16" x14ac:dyDescent="0.25">
      <c r="A142" s="337" t="s">
        <v>1155</v>
      </c>
      <c r="B142" s="337" t="s">
        <v>3</v>
      </c>
      <c r="C142" s="345" t="s">
        <v>53</v>
      </c>
      <c r="D142" s="369">
        <v>41452</v>
      </c>
      <c r="E142" s="337">
        <v>1</v>
      </c>
      <c r="F142" s="93">
        <v>0.87860000000000005</v>
      </c>
      <c r="G142" s="366"/>
      <c r="H142" s="319">
        <v>41466</v>
      </c>
      <c r="I142" s="362">
        <v>0.871</v>
      </c>
      <c r="J142" s="324">
        <f>SUM(I142-F142)*10000</f>
        <v>-76.000000000000512</v>
      </c>
      <c r="K142" s="32">
        <f>SUM(100000/N142)/10000</f>
        <v>10.436016781114985</v>
      </c>
      <c r="L142" s="349">
        <f>SUM((I142-F142)/J142*K142)*E142</f>
        <v>1.0436016781114985E-3</v>
      </c>
      <c r="M142" s="345" t="s">
        <v>885</v>
      </c>
      <c r="N142" s="356">
        <v>0.95821999999999996</v>
      </c>
      <c r="O142" s="350">
        <f t="shared" si="47"/>
        <v>-827.71939154342863</v>
      </c>
      <c r="P142" s="373"/>
    </row>
    <row r="143" spans="1:16" x14ac:dyDescent="0.25">
      <c r="A143" s="337" t="s">
        <v>1154</v>
      </c>
      <c r="B143" s="337" t="s">
        <v>3</v>
      </c>
      <c r="C143" s="345" t="s">
        <v>53</v>
      </c>
      <c r="D143" s="369">
        <v>41456</v>
      </c>
      <c r="E143" s="337">
        <v>1</v>
      </c>
      <c r="F143" s="93">
        <v>1.2363999999999999</v>
      </c>
      <c r="G143" s="366"/>
      <c r="H143" s="319">
        <v>41466</v>
      </c>
      <c r="I143" s="362">
        <v>1.2375</v>
      </c>
      <c r="J143" s="324">
        <f>SUM(I143-F143)*10000</f>
        <v>11.000000000001009</v>
      </c>
      <c r="K143" s="32">
        <f>SUM(100000/N143)/10000</f>
        <v>10.436016781114985</v>
      </c>
      <c r="L143" s="349">
        <f>SUM((I143-F143)/J143*K143)*E143</f>
        <v>1.0436016781114985E-3</v>
      </c>
      <c r="M143" s="345" t="s">
        <v>885</v>
      </c>
      <c r="N143" s="356">
        <v>0.95821999999999996</v>
      </c>
      <c r="O143" s="350">
        <f t="shared" si="47"/>
        <v>119.80149088129592</v>
      </c>
    </row>
    <row r="144" spans="1:16" x14ac:dyDescent="0.25">
      <c r="A144" s="337" t="s">
        <v>1130</v>
      </c>
      <c r="B144" s="337" t="s">
        <v>3</v>
      </c>
      <c r="C144" s="345" t="s">
        <v>53</v>
      </c>
      <c r="D144" s="369">
        <v>41465</v>
      </c>
      <c r="E144" s="337">
        <v>1</v>
      </c>
      <c r="F144" s="93">
        <v>1.1758</v>
      </c>
      <c r="G144" s="366"/>
      <c r="H144" s="319">
        <v>41467</v>
      </c>
      <c r="I144" s="362">
        <v>1.1498999999999999</v>
      </c>
      <c r="J144" s="324">
        <f>SUM(I144-F144)*10000</f>
        <v>-259.00000000000034</v>
      </c>
      <c r="K144" s="32">
        <f>SUM(100000/N144)/10000</f>
        <v>7.9441368298127566</v>
      </c>
      <c r="L144" s="349">
        <f>SUM((I144-F144)/J144*K144)*E144</f>
        <v>7.944136829812757E-4</v>
      </c>
      <c r="M144" s="345" t="s">
        <v>885</v>
      </c>
      <c r="N144" s="356">
        <v>1.2587900000000001</v>
      </c>
      <c r="O144" s="350">
        <f t="shared" si="47"/>
        <v>-1634.5311282433977</v>
      </c>
      <c r="P144" s="373"/>
    </row>
    <row r="145" spans="1:16" x14ac:dyDescent="0.25">
      <c r="A145" s="337" t="s">
        <v>1069</v>
      </c>
      <c r="B145" s="337" t="s">
        <v>3</v>
      </c>
      <c r="C145" s="345" t="s">
        <v>53</v>
      </c>
      <c r="D145" s="369">
        <v>41466</v>
      </c>
      <c r="E145" s="337">
        <v>1</v>
      </c>
      <c r="F145" s="93">
        <v>0.9284</v>
      </c>
      <c r="G145" s="366"/>
      <c r="H145" s="319">
        <v>41467</v>
      </c>
      <c r="I145" s="362">
        <v>0.90280000000000005</v>
      </c>
      <c r="J145" s="324">
        <f>SUM(I145-F145)*10000</f>
        <v>-255.99999999999957</v>
      </c>
      <c r="K145" s="32">
        <f>SUM(100000/N145)/10000</f>
        <v>10</v>
      </c>
      <c r="L145" s="349">
        <f>SUM((I145-F145)/J145*K145)*E145</f>
        <v>1E-3</v>
      </c>
      <c r="M145" s="345" t="s">
        <v>885</v>
      </c>
      <c r="N145" s="356">
        <v>1</v>
      </c>
      <c r="O145" s="350">
        <f t="shared" si="47"/>
        <v>-2559.9999999999959</v>
      </c>
      <c r="P145" s="373"/>
    </row>
    <row r="146" spans="1:16" x14ac:dyDescent="0.25">
      <c r="A146" s="343" t="s">
        <v>1178</v>
      </c>
      <c r="B146" s="343" t="s">
        <v>3</v>
      </c>
      <c r="C146" s="352" t="s">
        <v>78</v>
      </c>
      <c r="D146" s="282">
        <v>41465</v>
      </c>
      <c r="E146" s="343">
        <v>1</v>
      </c>
      <c r="F146" s="323">
        <v>103.13200000000001</v>
      </c>
      <c r="G146" s="370"/>
      <c r="H146" s="319">
        <v>41467</v>
      </c>
      <c r="I146" s="354">
        <v>105.17</v>
      </c>
      <c r="J146" s="324">
        <f>SUM(F146-I146)*10000</f>
        <v>-20379.999999999967</v>
      </c>
      <c r="K146" s="329">
        <f>SUM(100000/N146)/100</f>
        <v>10.107646434527719</v>
      </c>
      <c r="L146" s="351">
        <f>SUM((F146-I146)/J146*K146)*E146</f>
        <v>1.0107646434527719E-3</v>
      </c>
      <c r="M146" s="345" t="s">
        <v>885</v>
      </c>
      <c r="N146" s="357">
        <v>98.935000000000002</v>
      </c>
      <c r="O146" s="350">
        <f t="shared" si="47"/>
        <v>-2082.1128451576751</v>
      </c>
      <c r="P146" s="283"/>
    </row>
    <row r="147" spans="1:16" x14ac:dyDescent="0.25">
      <c r="A147" s="343" t="s">
        <v>1156</v>
      </c>
      <c r="B147" s="343" t="s">
        <v>3</v>
      </c>
      <c r="C147" s="352" t="s">
        <v>78</v>
      </c>
      <c r="D147" s="282">
        <v>41464</v>
      </c>
      <c r="E147" s="343">
        <v>1</v>
      </c>
      <c r="F147" s="323">
        <v>1.6315</v>
      </c>
      <c r="G147" s="370"/>
      <c r="H147" s="319">
        <v>41467</v>
      </c>
      <c r="I147" s="354">
        <v>1.6677999999999999</v>
      </c>
      <c r="J147" s="324">
        <f>SUM(F147-I147)*10000</f>
        <v>-363</v>
      </c>
      <c r="K147" s="329">
        <f>SUM(100000/N147)/10000</f>
        <v>9.1857000000000006</v>
      </c>
      <c r="L147" s="351">
        <f>SUM((F147-I147)/J147*K147)*E147</f>
        <v>9.1856999999999996E-4</v>
      </c>
      <c r="M147" s="345" t="s">
        <v>885</v>
      </c>
      <c r="N147" s="357">
        <f>1/0.91857</f>
        <v>1.0886486604178234</v>
      </c>
      <c r="O147" s="350">
        <f t="shared" si="47"/>
        <v>-3062.8881669870002</v>
      </c>
      <c r="P147" s="283"/>
    </row>
    <row r="148" spans="1:16" x14ac:dyDescent="0.25">
      <c r="A148" s="343" t="s">
        <v>1070</v>
      </c>
      <c r="B148" s="343" t="s">
        <v>3</v>
      </c>
      <c r="C148" s="352" t="s">
        <v>78</v>
      </c>
      <c r="D148" s="282">
        <v>41465</v>
      </c>
      <c r="E148" s="343">
        <v>1</v>
      </c>
      <c r="F148" s="323">
        <v>1.2728999999999999</v>
      </c>
      <c r="G148" s="370"/>
      <c r="H148" s="319">
        <v>41467</v>
      </c>
      <c r="I148" s="354">
        <v>1.2644</v>
      </c>
      <c r="J148" s="324">
        <f>SUM(F148-I148)*10000</f>
        <v>84.999999999999517</v>
      </c>
      <c r="K148" s="329">
        <f t="shared" ref="K148" si="52">SUM(100000/N148)/10000</f>
        <v>7.9088895919012971</v>
      </c>
      <c r="L148" s="351">
        <f>SUM((F148-I148)/J148*K148)*E148</f>
        <v>7.9088895919012978E-4</v>
      </c>
      <c r="M148" s="345" t="s">
        <v>885</v>
      </c>
      <c r="N148" s="357">
        <f>I148</f>
        <v>1.2644</v>
      </c>
      <c r="O148" s="350">
        <f t="shared" si="47"/>
        <v>531.67954390351667</v>
      </c>
      <c r="P148" s="283"/>
    </row>
    <row r="149" spans="1:16" x14ac:dyDescent="0.25">
      <c r="A149" s="337" t="s">
        <v>1162</v>
      </c>
      <c r="B149" s="337" t="s">
        <v>3</v>
      </c>
      <c r="C149" s="345" t="s">
        <v>53</v>
      </c>
      <c r="D149" s="369">
        <v>41491</v>
      </c>
      <c r="E149" s="337">
        <v>1</v>
      </c>
      <c r="F149" s="93">
        <v>151.47</v>
      </c>
      <c r="G149" s="366"/>
      <c r="H149" s="319">
        <v>41493</v>
      </c>
      <c r="I149" s="362">
        <v>148.18</v>
      </c>
      <c r="J149" s="324">
        <f>SUM(I149-F149)*10000</f>
        <v>-32899.99999999992</v>
      </c>
      <c r="K149" s="32">
        <f>SUM(100000/N149)/100</f>
        <v>10.232481990831696</v>
      </c>
      <c r="L149" s="349">
        <v>0</v>
      </c>
      <c r="M149" s="345" t="s">
        <v>885</v>
      </c>
      <c r="N149" s="356">
        <v>97.727999999999994</v>
      </c>
      <c r="O149" s="350">
        <f t="shared" si="47"/>
        <v>-3444.7513250896568</v>
      </c>
      <c r="P149" s="373"/>
    </row>
    <row r="150" spans="1:16" x14ac:dyDescent="0.25">
      <c r="A150" s="337" t="s">
        <v>1042</v>
      </c>
      <c r="B150" s="337" t="s">
        <v>3</v>
      </c>
      <c r="C150" s="345" t="s">
        <v>53</v>
      </c>
      <c r="D150" s="369">
        <v>41491</v>
      </c>
      <c r="E150" s="337">
        <v>1</v>
      </c>
      <c r="F150" s="93">
        <v>1.4232</v>
      </c>
      <c r="G150" s="366"/>
      <c r="H150" s="319">
        <v>41493</v>
      </c>
      <c r="I150" s="362">
        <v>1.4151</v>
      </c>
      <c r="J150" s="324">
        <f>SUM(I150-F150)*10000</f>
        <v>-80.999999999999957</v>
      </c>
      <c r="K150" s="32">
        <f>SUM(100000/N150)/10000</f>
        <v>10.803452783509611</v>
      </c>
      <c r="L150" s="349">
        <f>SUM((I150-F150)/J150*K150)*E150</f>
        <v>1.0803452783509611E-3</v>
      </c>
      <c r="M150" s="345" t="s">
        <v>885</v>
      </c>
      <c r="N150" s="356">
        <v>0.92562999999999995</v>
      </c>
      <c r="O150" s="350">
        <f t="shared" si="47"/>
        <v>-945.38819556872409</v>
      </c>
      <c r="P150" s="373"/>
    </row>
    <row r="151" spans="1:16" x14ac:dyDescent="0.25">
      <c r="A151" s="337" t="s">
        <v>1157</v>
      </c>
      <c r="B151" s="337" t="s">
        <v>3</v>
      </c>
      <c r="C151" s="345" t="s">
        <v>53</v>
      </c>
      <c r="D151" s="369">
        <v>41493</v>
      </c>
      <c r="E151" s="337">
        <v>1</v>
      </c>
      <c r="F151" s="93">
        <v>1.5438000000000001</v>
      </c>
      <c r="G151" s="366"/>
      <c r="H151" s="319">
        <v>41498</v>
      </c>
      <c r="I151" s="362">
        <v>1.5466</v>
      </c>
      <c r="J151" s="324">
        <f>SUM(I151-F151)*10000</f>
        <v>27.999999999999137</v>
      </c>
      <c r="K151" s="32">
        <f>SUM(100000/N151)/10000</f>
        <v>10</v>
      </c>
      <c r="L151" s="349">
        <f>SUM((I151-F151)/J151*K151)*E151</f>
        <v>1E-3</v>
      </c>
      <c r="M151" s="345" t="s">
        <v>885</v>
      </c>
      <c r="N151" s="356">
        <v>1</v>
      </c>
      <c r="O151" s="350">
        <f t="shared" si="47"/>
        <v>279.99999999999136</v>
      </c>
      <c r="P151" s="373"/>
    </row>
    <row r="152" spans="1:16" x14ac:dyDescent="0.25">
      <c r="A152" s="337" t="s">
        <v>1069</v>
      </c>
      <c r="B152" s="337" t="s">
        <v>3</v>
      </c>
      <c r="C152" s="345" t="s">
        <v>53</v>
      </c>
      <c r="D152" s="369">
        <v>41494</v>
      </c>
      <c r="E152" s="337">
        <v>1</v>
      </c>
      <c r="F152" s="93">
        <v>0.90280000000000005</v>
      </c>
      <c r="G152" s="366"/>
      <c r="H152" s="319">
        <v>41499</v>
      </c>
      <c r="I152" s="362">
        <v>0.91459999999999997</v>
      </c>
      <c r="J152" s="324">
        <f>SUM(I152-F152)*10000</f>
        <v>117.99999999999922</v>
      </c>
      <c r="K152" s="32">
        <f>SUM(100000/N152)/10000</f>
        <v>10</v>
      </c>
      <c r="L152" s="349">
        <f>SUM((I152-F152)/J152*K152)*E152</f>
        <v>1E-3</v>
      </c>
      <c r="M152" s="345" t="s">
        <v>885</v>
      </c>
      <c r="N152" s="356">
        <v>1</v>
      </c>
      <c r="O152" s="350">
        <f t="shared" si="47"/>
        <v>1179.9999999999923</v>
      </c>
      <c r="P152" s="373"/>
    </row>
    <row r="153" spans="1:16" x14ac:dyDescent="0.25">
      <c r="A153" s="343" t="s">
        <v>1129</v>
      </c>
      <c r="B153" s="343" t="s">
        <v>3</v>
      </c>
      <c r="C153" s="352" t="s">
        <v>78</v>
      </c>
      <c r="D153" s="282">
        <v>41494</v>
      </c>
      <c r="E153" s="343">
        <v>1</v>
      </c>
      <c r="F153" s="323">
        <v>1.4732000000000001</v>
      </c>
      <c r="G153" s="370"/>
      <c r="H153" s="319">
        <v>41499</v>
      </c>
      <c r="I153" s="354">
        <v>1.4551000000000001</v>
      </c>
      <c r="J153" s="324">
        <f>SUM(F153-I153)*10000</f>
        <v>181.00000000000006</v>
      </c>
      <c r="K153" s="329">
        <f t="shared" ref="K153" si="53">SUM(100000/N153)/10000</f>
        <v>9.1464999999999979</v>
      </c>
      <c r="L153" s="351">
        <f>SUM((F153-I153)/J153*K153)*E153</f>
        <v>9.1464999999999971E-4</v>
      </c>
      <c r="M153" s="345" t="s">
        <v>885</v>
      </c>
      <c r="N153" s="357">
        <f>1/0.91465</f>
        <v>1.0933143825507026</v>
      </c>
      <c r="O153" s="350">
        <f t="shared" si="47"/>
        <v>1514.2181667249999</v>
      </c>
      <c r="P153" s="283"/>
    </row>
    <row r="154" spans="1:16" x14ac:dyDescent="0.25">
      <c r="A154" s="343" t="s">
        <v>1290</v>
      </c>
      <c r="B154" s="343" t="s">
        <v>3</v>
      </c>
      <c r="C154" s="352" t="s">
        <v>78</v>
      </c>
      <c r="D154" s="282">
        <v>41466</v>
      </c>
      <c r="E154" s="343">
        <v>1</v>
      </c>
      <c r="F154" s="323">
        <v>98.694999999999993</v>
      </c>
      <c r="G154" s="370"/>
      <c r="H154" s="319">
        <v>41499</v>
      </c>
      <c r="I154" s="354">
        <v>96.89</v>
      </c>
      <c r="J154" s="324">
        <f>SUM(F154-I154)*10000</f>
        <v>18049.999999999927</v>
      </c>
      <c r="K154" s="329">
        <f>SUM(100000/N154)/100</f>
        <v>10.320982557539478</v>
      </c>
      <c r="L154" s="351">
        <f>SUM((F154-I154)/J154*K154)*E154</f>
        <v>1.0320982557539477E-3</v>
      </c>
      <c r="M154" s="345" t="s">
        <v>885</v>
      </c>
      <c r="N154" s="357">
        <f>I154</f>
        <v>96.89</v>
      </c>
      <c r="O154" s="350">
        <f t="shared" si="47"/>
        <v>1922.7343912022584</v>
      </c>
      <c r="P154" s="283"/>
    </row>
    <row r="155" spans="1:16" x14ac:dyDescent="0.25">
      <c r="A155" s="337" t="s">
        <v>1153</v>
      </c>
      <c r="B155" s="337" t="s">
        <v>3</v>
      </c>
      <c r="C155" s="345" t="s">
        <v>53</v>
      </c>
      <c r="D155" s="369">
        <v>41494</v>
      </c>
      <c r="E155" s="337">
        <v>1</v>
      </c>
      <c r="F155" s="93">
        <v>0.94110000000000005</v>
      </c>
      <c r="G155" s="366"/>
      <c r="H155" s="319">
        <v>41502</v>
      </c>
      <c r="I155" s="362">
        <v>0.94194999999999995</v>
      </c>
      <c r="J155" s="324">
        <f>SUM(I155-F155)*10000</f>
        <v>8.4999999999990639</v>
      </c>
      <c r="K155" s="32">
        <f>SUM(100000/N155)/10000</f>
        <v>9.7052515115929232</v>
      </c>
      <c r="L155" s="349">
        <f>SUM((I155-F155)/J155*K155)*E155</f>
        <v>9.7052515115929241E-4</v>
      </c>
      <c r="M155" s="345" t="s">
        <v>885</v>
      </c>
      <c r="N155" s="362">
        <v>1.03037</v>
      </c>
      <c r="O155" s="350">
        <f t="shared" ref="O155:O162" si="54">SUM(J155*K155)/N155</f>
        <v>80.063120867776391</v>
      </c>
      <c r="P155" s="373"/>
    </row>
    <row r="156" spans="1:16" x14ac:dyDescent="0.25">
      <c r="A156" s="337" t="s">
        <v>1167</v>
      </c>
      <c r="B156" s="337" t="s">
        <v>3</v>
      </c>
      <c r="C156" s="345" t="s">
        <v>53</v>
      </c>
      <c r="D156" s="369">
        <v>41498</v>
      </c>
      <c r="E156" s="337">
        <v>1</v>
      </c>
      <c r="F156" s="93">
        <v>89.01</v>
      </c>
      <c r="G156" s="366"/>
      <c r="H156" s="319">
        <v>41502</v>
      </c>
      <c r="I156" s="362">
        <v>88.98</v>
      </c>
      <c r="J156" s="324">
        <f>SUM(I156-F156)*10000</f>
        <v>-300.00000000001137</v>
      </c>
      <c r="K156" s="32">
        <f>SUM(100000/N156)/100</f>
        <v>10.272319181501608</v>
      </c>
      <c r="L156" s="349">
        <f>SUM((I156-F156)/J156*K156)*E156</f>
        <v>1.0272319181501609E-3</v>
      </c>
      <c r="M156" s="345" t="s">
        <v>885</v>
      </c>
      <c r="N156" s="356">
        <v>97.349000000000004</v>
      </c>
      <c r="O156" s="350">
        <f t="shared" si="54"/>
        <v>-31.656162409994955</v>
      </c>
      <c r="P156" s="373"/>
    </row>
    <row r="157" spans="1:16" x14ac:dyDescent="0.25">
      <c r="A157" s="337" t="s">
        <v>1070</v>
      </c>
      <c r="B157" s="337" t="s">
        <v>3</v>
      </c>
      <c r="C157" s="345" t="s">
        <v>53</v>
      </c>
      <c r="D157" s="369">
        <v>41501</v>
      </c>
      <c r="E157" s="337">
        <v>1</v>
      </c>
      <c r="F157" s="93">
        <v>1.2645</v>
      </c>
      <c r="G157" s="366"/>
      <c r="H157" s="319">
        <v>41502</v>
      </c>
      <c r="I157" s="362">
        <v>1.26851</v>
      </c>
      <c r="J157" s="324">
        <f>SUM(I157-F157)*10000</f>
        <v>40.100000000000691</v>
      </c>
      <c r="K157" s="32">
        <f>SUM(100000/N157)/10000</f>
        <v>7.8832646175434169</v>
      </c>
      <c r="L157" s="349">
        <f>SUM((I157-F157)/J157*K157)*E157</f>
        <v>7.8832646175434169E-4</v>
      </c>
      <c r="M157" s="345" t="s">
        <v>885</v>
      </c>
      <c r="N157" s="356">
        <f>I157</f>
        <v>1.26851</v>
      </c>
      <c r="O157" s="350">
        <f t="shared" si="54"/>
        <v>249.20490273115425</v>
      </c>
      <c r="P157" s="373"/>
    </row>
    <row r="158" spans="1:16" x14ac:dyDescent="0.25">
      <c r="A158" s="343" t="s">
        <v>1069</v>
      </c>
      <c r="B158" s="343" t="s">
        <v>3</v>
      </c>
      <c r="C158" s="352" t="s">
        <v>78</v>
      </c>
      <c r="D158" s="282">
        <v>41501</v>
      </c>
      <c r="E158" s="343">
        <v>1</v>
      </c>
      <c r="F158" s="323">
        <v>0.90769999999999995</v>
      </c>
      <c r="G158" s="370"/>
      <c r="H158" s="319">
        <v>41505</v>
      </c>
      <c r="I158" s="354">
        <v>0.92200000000000004</v>
      </c>
      <c r="J158" s="324">
        <f>SUM(F158-I158)*10000</f>
        <v>-143.00000000000091</v>
      </c>
      <c r="K158" s="329">
        <f>SUM(100000/N158)/10000</f>
        <v>10</v>
      </c>
      <c r="L158" s="351">
        <f>SUM((F158-I158)/J158*K158)*E158</f>
        <v>1E-3</v>
      </c>
      <c r="M158" s="345" t="s">
        <v>885</v>
      </c>
      <c r="N158" s="354">
        <v>1</v>
      </c>
      <c r="O158" s="350">
        <f t="shared" si="54"/>
        <v>-1430.0000000000091</v>
      </c>
      <c r="P158" s="283"/>
    </row>
    <row r="159" spans="1:16" x14ac:dyDescent="0.25">
      <c r="A159" s="337" t="s">
        <v>1162</v>
      </c>
      <c r="B159" s="337" t="s">
        <v>3</v>
      </c>
      <c r="C159" s="345" t="s">
        <v>53</v>
      </c>
      <c r="D159" s="369">
        <v>41499</v>
      </c>
      <c r="E159" s="337">
        <v>1</v>
      </c>
      <c r="F159" s="93">
        <v>151.47</v>
      </c>
      <c r="G159" s="366"/>
      <c r="H159" s="319">
        <v>41506</v>
      </c>
      <c r="I159" s="362">
        <v>152.12</v>
      </c>
      <c r="J159" s="324">
        <f>SUM(I159-F159)*10000</f>
        <v>6500.0000000000564</v>
      </c>
      <c r="K159" s="32">
        <f>SUM(100000/N159)/100</f>
        <v>10.252204223908141</v>
      </c>
      <c r="L159" s="349">
        <f>SUM((I159-F159)/J159*K159)*E159</f>
        <v>1.025220422390814E-3</v>
      </c>
      <c r="M159" s="345" t="s">
        <v>885</v>
      </c>
      <c r="N159" s="356">
        <v>97.54</v>
      </c>
      <c r="O159" s="350">
        <f t="shared" si="54"/>
        <v>683.19999441668529</v>
      </c>
      <c r="P159" s="373"/>
    </row>
    <row r="160" spans="1:16" x14ac:dyDescent="0.25">
      <c r="A160" s="337" t="s">
        <v>1184</v>
      </c>
      <c r="B160" s="337" t="s">
        <v>3</v>
      </c>
      <c r="C160" s="345" t="s">
        <v>53</v>
      </c>
      <c r="D160" s="369">
        <v>41502</v>
      </c>
      <c r="E160" s="337">
        <v>1</v>
      </c>
      <c r="F160" s="93">
        <v>0.81100000000000005</v>
      </c>
      <c r="G160" s="366"/>
      <c r="H160" s="319">
        <v>41506</v>
      </c>
      <c r="I160" s="362">
        <v>0.80210000000000004</v>
      </c>
      <c r="J160" s="324">
        <f>SUM(I160-F160)*10000</f>
        <v>-89.000000000000185</v>
      </c>
      <c r="K160" s="32">
        <f>SUM(100000/N160)/10000</f>
        <v>10</v>
      </c>
      <c r="L160" s="349">
        <f>SUM((I160-F160)/J160*K160)*E160</f>
        <v>1E-3</v>
      </c>
      <c r="M160" s="345" t="s">
        <v>885</v>
      </c>
      <c r="N160" s="356">
        <v>1</v>
      </c>
      <c r="O160" s="350">
        <f t="shared" si="54"/>
        <v>-890.00000000000182</v>
      </c>
      <c r="P160" s="373"/>
    </row>
    <row r="161" spans="1:16" x14ac:dyDescent="0.25">
      <c r="A161" s="343" t="s">
        <v>1042</v>
      </c>
      <c r="B161" s="343" t="s">
        <v>3</v>
      </c>
      <c r="C161" s="352" t="s">
        <v>78</v>
      </c>
      <c r="D161" s="282">
        <v>41502</v>
      </c>
      <c r="E161" s="343">
        <v>1</v>
      </c>
      <c r="F161" s="323">
        <v>1.4450000000000001</v>
      </c>
      <c r="G161" s="370"/>
      <c r="H161" s="319">
        <v>41507</v>
      </c>
      <c r="I161" s="354">
        <v>1.4467000000000001</v>
      </c>
      <c r="J161" s="324">
        <f>SUM(F161-I161)*10000</f>
        <v>-17.000000000000348</v>
      </c>
      <c r="K161" s="329">
        <f>SUM(100000/N161)/10000</f>
        <v>10.903341874284468</v>
      </c>
      <c r="L161" s="351">
        <f>SUM((F161-I161)/J161*K161)*E161</f>
        <v>1.0903341874284468E-3</v>
      </c>
      <c r="M161" s="345" t="s">
        <v>885</v>
      </c>
      <c r="N161" s="357">
        <v>0.91715000000000002</v>
      </c>
      <c r="O161" s="350">
        <f t="shared" si="54"/>
        <v>-202.10086884679686</v>
      </c>
      <c r="P161" s="283"/>
    </row>
    <row r="162" spans="1:16" x14ac:dyDescent="0.25">
      <c r="A162" s="343" t="s">
        <v>1160</v>
      </c>
      <c r="B162" s="343" t="s">
        <v>3</v>
      </c>
      <c r="C162" s="352" t="s">
        <v>78</v>
      </c>
      <c r="D162" s="282">
        <v>41502</v>
      </c>
      <c r="E162" s="343">
        <v>1</v>
      </c>
      <c r="F162" s="323">
        <v>0.89649999999999996</v>
      </c>
      <c r="G162" s="370"/>
      <c r="H162" s="319">
        <v>41508</v>
      </c>
      <c r="I162" s="354">
        <v>0.88190000000000002</v>
      </c>
      <c r="J162" s="324">
        <f>SUM(F162-I162)*10000</f>
        <v>145.99999999999946</v>
      </c>
      <c r="K162" s="329">
        <f t="shared" ref="K162" si="55">SUM(100000/N162)/10000</f>
        <v>10.844693149407338</v>
      </c>
      <c r="L162" s="351">
        <f>SUM((F162-I162)/J162*K162)*E162</f>
        <v>1.0844693149407339E-3</v>
      </c>
      <c r="M162" s="345" t="s">
        <v>885</v>
      </c>
      <c r="N162" s="357">
        <v>0.92210999999999999</v>
      </c>
      <c r="O162" s="350">
        <f t="shared" si="54"/>
        <v>1717.0675947701093</v>
      </c>
      <c r="P162" s="283"/>
    </row>
    <row r="163" spans="1:16" ht="15" customHeight="1" x14ac:dyDescent="0.25">
      <c r="A163" s="337" t="s">
        <v>1152</v>
      </c>
      <c r="B163" s="337" t="s">
        <v>3</v>
      </c>
      <c r="C163" s="345" t="s">
        <v>53</v>
      </c>
      <c r="D163" s="369">
        <v>41513</v>
      </c>
      <c r="E163" s="337">
        <v>1</v>
      </c>
      <c r="F163" s="93">
        <v>77.63</v>
      </c>
      <c r="G163" s="366"/>
      <c r="H163" s="319">
        <v>41513</v>
      </c>
      <c r="I163" s="362">
        <v>76.34</v>
      </c>
      <c r="J163" s="324">
        <f>SUM(I163-F163)*10000</f>
        <v>-12899.99999999992</v>
      </c>
      <c r="K163" s="32">
        <f>SUM(100000/N163)/100</f>
        <v>10.152181196129987</v>
      </c>
      <c r="L163" s="349">
        <f>SUM((I163-F163)/J163*K163)*E163</f>
        <v>1.0152181196129988E-3</v>
      </c>
      <c r="M163" s="345" t="s">
        <v>885</v>
      </c>
      <c r="N163" s="356">
        <v>98.501000000000005</v>
      </c>
      <c r="O163" s="350">
        <f t="shared" ref="O163:O170" si="56">SUM(J163*K163)/N163</f>
        <v>-1329.5615012038052</v>
      </c>
      <c r="P163" s="373"/>
    </row>
    <row r="164" spans="1:16" x14ac:dyDescent="0.25">
      <c r="A164" s="337" t="s">
        <v>1159</v>
      </c>
      <c r="B164" s="337" t="s">
        <v>3</v>
      </c>
      <c r="C164" s="345" t="s">
        <v>53</v>
      </c>
      <c r="D164" s="369">
        <v>41508</v>
      </c>
      <c r="E164" s="337">
        <v>1</v>
      </c>
      <c r="F164" s="93">
        <v>1.1477999999999999</v>
      </c>
      <c r="G164" s="366"/>
      <c r="H164" s="319">
        <v>41520</v>
      </c>
      <c r="I164" s="362">
        <v>1.1597</v>
      </c>
      <c r="J164" s="324">
        <f>SUM(I164-F164)*10000</f>
        <v>119.00000000000021</v>
      </c>
      <c r="K164" s="32">
        <f>SUM(100000/N164)/10000</f>
        <v>7.8437000000000001</v>
      </c>
      <c r="L164" s="349">
        <f>SUM((I164-F164)/J164*K164)*E164</f>
        <v>7.8437000000000005E-4</v>
      </c>
      <c r="M164" s="345" t="s">
        <v>885</v>
      </c>
      <c r="N164" s="93">
        <f>1/0.78437</f>
        <v>1.2749085253133088</v>
      </c>
      <c r="O164" s="350">
        <f t="shared" si="56"/>
        <v>732.13119331100131</v>
      </c>
      <c r="P164" s="373"/>
    </row>
    <row r="165" spans="1:16" ht="15" customHeight="1" x14ac:dyDescent="0.25">
      <c r="A165" s="337" t="s">
        <v>1160</v>
      </c>
      <c r="B165" s="337" t="s">
        <v>3</v>
      </c>
      <c r="C165" s="345" t="s">
        <v>53</v>
      </c>
      <c r="D165" s="369">
        <v>41512</v>
      </c>
      <c r="E165" s="337">
        <v>1</v>
      </c>
      <c r="F165" s="93">
        <v>0.87909999999999999</v>
      </c>
      <c r="G165" s="366"/>
      <c r="H165" s="319">
        <v>41513</v>
      </c>
      <c r="I165" s="362">
        <v>0.873</v>
      </c>
      <c r="J165" s="324">
        <f>SUM(I165-F165)*10000</f>
        <v>-60.999999999999943</v>
      </c>
      <c r="K165" s="32">
        <f>SUM(100000/N165)/10000</f>
        <v>10.836701741457968</v>
      </c>
      <c r="L165" s="349">
        <f>SUM((I165-F165)/J165*K165)*E165</f>
        <v>1.0836701741457969E-3</v>
      </c>
      <c r="M165" s="345" t="s">
        <v>885</v>
      </c>
      <c r="N165" s="356">
        <v>0.92279</v>
      </c>
      <c r="O165" s="350">
        <f t="shared" si="56"/>
        <v>-716.34803826324014</v>
      </c>
      <c r="P165" s="373"/>
    </row>
    <row r="166" spans="1:16" ht="15" customHeight="1" x14ac:dyDescent="0.25">
      <c r="A166" s="343" t="s">
        <v>1162</v>
      </c>
      <c r="B166" s="343" t="s">
        <v>3</v>
      </c>
      <c r="C166" s="352" t="s">
        <v>78</v>
      </c>
      <c r="D166" s="282">
        <v>41512</v>
      </c>
      <c r="E166" s="343">
        <v>1</v>
      </c>
      <c r="F166" s="323">
        <v>153.41800000000001</v>
      </c>
      <c r="G166" s="370"/>
      <c r="H166" s="319">
        <v>41513</v>
      </c>
      <c r="I166" s="354">
        <v>151.54599999999999</v>
      </c>
      <c r="J166" s="324">
        <f>SUM(F166-I166)*10000</f>
        <v>18720.000000000142</v>
      </c>
      <c r="K166" s="329">
        <f>SUM(100000/N166)/100</f>
        <v>10.152181196129987</v>
      </c>
      <c r="L166" s="351">
        <f>SUM((F166-I166)/J166*K166)*E166</f>
        <v>1.0152181196129986E-3</v>
      </c>
      <c r="M166" s="352" t="s">
        <v>885</v>
      </c>
      <c r="N166" s="357">
        <v>98.501000000000005</v>
      </c>
      <c r="O166" s="350">
        <f t="shared" si="56"/>
        <v>1929.4101784911302</v>
      </c>
      <c r="P166" s="283"/>
    </row>
    <row r="167" spans="1:16" ht="15" customHeight="1" x14ac:dyDescent="0.25">
      <c r="A167" s="337" t="s">
        <v>1040</v>
      </c>
      <c r="B167" s="337" t="s">
        <v>3</v>
      </c>
      <c r="C167" s="345" t="s">
        <v>53</v>
      </c>
      <c r="D167" s="369">
        <v>41509</v>
      </c>
      <c r="E167" s="337">
        <v>1</v>
      </c>
      <c r="F167" s="93">
        <v>0.85850000000000004</v>
      </c>
      <c r="G167" s="366"/>
      <c r="H167" s="319">
        <v>41514</v>
      </c>
      <c r="I167" s="362">
        <v>0.86350000000000005</v>
      </c>
      <c r="J167" s="324">
        <f>SUM(I167-F167)*10000</f>
        <v>50.000000000000043</v>
      </c>
      <c r="K167" s="32">
        <f>SUM(100000/N167)/10000</f>
        <v>15.545</v>
      </c>
      <c r="L167" s="349">
        <f>SUM((I167-F167)/J167*K167)*E167</f>
        <v>1.5545000000000001E-3</v>
      </c>
      <c r="M167" s="345" t="s">
        <v>885</v>
      </c>
      <c r="N167" s="356">
        <f>1/1.5545</f>
        <v>0.64329366355741391</v>
      </c>
      <c r="O167" s="350">
        <f t="shared" si="56"/>
        <v>1208.2351250000011</v>
      </c>
      <c r="P167" s="373"/>
    </row>
    <row r="168" spans="1:16" ht="15" customHeight="1" x14ac:dyDescent="0.25">
      <c r="A168" s="343" t="s">
        <v>1185</v>
      </c>
      <c r="B168" s="343" t="s">
        <v>3</v>
      </c>
      <c r="C168" s="352" t="s">
        <v>78</v>
      </c>
      <c r="D168" s="282">
        <v>41513</v>
      </c>
      <c r="E168" s="343">
        <v>1</v>
      </c>
      <c r="F168" s="323">
        <v>1.6326000000000001</v>
      </c>
      <c r="G168" s="370"/>
      <c r="H168" s="319">
        <v>41515</v>
      </c>
      <c r="I168" s="354">
        <v>1.62798</v>
      </c>
      <c r="J168" s="324">
        <f>SUM(F168-I168)*10000</f>
        <v>46.200000000000685</v>
      </c>
      <c r="K168" s="329">
        <f>SUM(100000/N168)/10000</f>
        <v>9.5367977340568579</v>
      </c>
      <c r="L168" s="351">
        <f>SUM((F168-I168)/J168*K168)*E168</f>
        <v>9.5367977340568588E-4</v>
      </c>
      <c r="M168" s="352" t="s">
        <v>885</v>
      </c>
      <c r="N168" s="357">
        <v>1.04857</v>
      </c>
      <c r="O168" s="350">
        <f t="shared" si="56"/>
        <v>420.19136091384775</v>
      </c>
      <c r="P168" s="283"/>
    </row>
    <row r="169" spans="1:16" ht="15" customHeight="1" x14ac:dyDescent="0.25">
      <c r="A169" s="343" t="s">
        <v>1151</v>
      </c>
      <c r="B169" s="343" t="s">
        <v>3</v>
      </c>
      <c r="C169" s="352" t="s">
        <v>78</v>
      </c>
      <c r="D169" s="282">
        <v>41513</v>
      </c>
      <c r="E169" s="343">
        <v>1</v>
      </c>
      <c r="F169" s="323">
        <v>1.4034</v>
      </c>
      <c r="G169" s="370"/>
      <c r="H169" s="319">
        <v>41516</v>
      </c>
      <c r="I169" s="354">
        <v>1.3946400000000001</v>
      </c>
      <c r="J169" s="324">
        <f>SUM(F169-I169)*10000</f>
        <v>87.599999999998786</v>
      </c>
      <c r="K169" s="329">
        <f>SUM(100000/N169)/10000</f>
        <v>9.4949629221697869</v>
      </c>
      <c r="L169" s="351">
        <f>SUM((F169-I169)/J169*K169)*E169</f>
        <v>9.4949629221697878E-4</v>
      </c>
      <c r="M169" s="352" t="s">
        <v>885</v>
      </c>
      <c r="N169" s="357">
        <v>1.0531900000000001</v>
      </c>
      <c r="O169" s="350">
        <f t="shared" si="56"/>
        <v>789.75185102598937</v>
      </c>
      <c r="P169" s="283"/>
    </row>
    <row r="170" spans="1:16" ht="15" customHeight="1" x14ac:dyDescent="0.25">
      <c r="A170" s="343" t="s">
        <v>1041</v>
      </c>
      <c r="B170" s="343" t="s">
        <v>3</v>
      </c>
      <c r="C170" s="352" t="s">
        <v>78</v>
      </c>
      <c r="D170" s="282">
        <v>41513</v>
      </c>
      <c r="E170" s="343">
        <v>1</v>
      </c>
      <c r="F170" s="323">
        <v>1.0487</v>
      </c>
      <c r="G170" s="370"/>
      <c r="H170" s="319">
        <v>41516</v>
      </c>
      <c r="I170" s="354">
        <v>1.0545</v>
      </c>
      <c r="J170" s="324">
        <f>SUM(F170-I170)*10000</f>
        <v>-58.00000000000027</v>
      </c>
      <c r="K170" s="329">
        <f>SUM(100000/N170)/10000</f>
        <v>9.4831673779042198</v>
      </c>
      <c r="L170" s="351">
        <f>SUM((F170-I170)/J170*K170)*E170</f>
        <v>9.4831673779042201E-4</v>
      </c>
      <c r="M170" s="352" t="s">
        <v>885</v>
      </c>
      <c r="N170" s="323">
        <v>1.0545</v>
      </c>
      <c r="O170" s="350">
        <f t="shared" si="56"/>
        <v>-521.59668840061386</v>
      </c>
      <c r="P170" s="283"/>
    </row>
    <row r="171" spans="1:16" ht="15" customHeight="1" x14ac:dyDescent="0.25">
      <c r="A171" s="343" t="s">
        <v>1129</v>
      </c>
      <c r="B171" s="343" t="s">
        <v>3</v>
      </c>
      <c r="C171" s="352" t="s">
        <v>78</v>
      </c>
      <c r="D171" s="282">
        <v>41519</v>
      </c>
      <c r="E171" s="343">
        <v>1</v>
      </c>
      <c r="F171" s="323">
        <v>1.4771000000000001</v>
      </c>
      <c r="G171" s="370"/>
      <c r="H171" s="319">
        <v>41520</v>
      </c>
      <c r="I171" s="354">
        <v>1.4670000000000001</v>
      </c>
      <c r="J171" s="324">
        <f>SUM(F171-I171)*10000</f>
        <v>100.99999999999997</v>
      </c>
      <c r="K171" s="329">
        <f t="shared" ref="K171" si="57">SUM(100000/N171)/10000</f>
        <v>8.9429000000000016</v>
      </c>
      <c r="L171" s="351">
        <f>SUM((F171-I171)/J171*K171)*E171</f>
        <v>8.9429000000000017E-4</v>
      </c>
      <c r="M171" s="352" t="s">
        <v>885</v>
      </c>
      <c r="N171" s="357">
        <f>1/0.89429</f>
        <v>1.1182055038074896</v>
      </c>
      <c r="O171" s="350">
        <f t="shared" ref="O171:O177" si="58">SUM(J171*K171)/N171</f>
        <v>807.75215014100002</v>
      </c>
      <c r="P171" s="283"/>
    </row>
    <row r="172" spans="1:16" ht="15" customHeight="1" x14ac:dyDescent="0.25">
      <c r="A172" s="337" t="s">
        <v>1167</v>
      </c>
      <c r="B172" s="337" t="s">
        <v>3</v>
      </c>
      <c r="C172" s="345" t="s">
        <v>53</v>
      </c>
      <c r="D172" s="369">
        <v>41519</v>
      </c>
      <c r="E172" s="337">
        <v>1</v>
      </c>
      <c r="F172" s="93">
        <v>88.037999999999997</v>
      </c>
      <c r="G172" s="366"/>
      <c r="H172" s="319">
        <v>41520</v>
      </c>
      <c r="I172" s="362">
        <v>89.03</v>
      </c>
      <c r="J172" s="324">
        <f>SUM(I172-F172)*10000</f>
        <v>9920.0000000000437</v>
      </c>
      <c r="K172" s="32">
        <f>SUM(100000/N172)/100</f>
        <v>10.068364192869586</v>
      </c>
      <c r="L172" s="349">
        <f>SUM((I172-F172)/J172*K172)*E172</f>
        <v>1.0068364192869586E-3</v>
      </c>
      <c r="M172" s="345" t="s">
        <v>885</v>
      </c>
      <c r="N172" s="356">
        <v>99.320999999999998</v>
      </c>
      <c r="O172" s="350">
        <f t="shared" si="58"/>
        <v>1005.6098186009679</v>
      </c>
      <c r="P172" s="373"/>
    </row>
    <row r="173" spans="1:16" ht="15" customHeight="1" x14ac:dyDescent="0.25">
      <c r="A173" s="337" t="s">
        <v>1155</v>
      </c>
      <c r="B173" s="337" t="s">
        <v>3</v>
      </c>
      <c r="C173" s="345" t="s">
        <v>53</v>
      </c>
      <c r="D173" s="369">
        <v>41519</v>
      </c>
      <c r="E173" s="337">
        <v>1</v>
      </c>
      <c r="F173" s="93">
        <v>0.83509999999999995</v>
      </c>
      <c r="G173" s="366"/>
      <c r="H173" s="319">
        <v>41521</v>
      </c>
      <c r="I173" s="362">
        <v>0.84509999999999996</v>
      </c>
      <c r="J173" s="324">
        <f>SUM(I173-F173)*10000</f>
        <v>100.00000000000009</v>
      </c>
      <c r="K173" s="32">
        <f>SUM(100000/N173)/10000</f>
        <v>10.679539071093691</v>
      </c>
      <c r="L173" s="349">
        <f>SUM((I173-F173)/J173*K173)*E173</f>
        <v>1.0679539071093691E-3</v>
      </c>
      <c r="M173" s="345" t="s">
        <v>885</v>
      </c>
      <c r="N173" s="356">
        <v>0.93637000000000004</v>
      </c>
      <c r="O173" s="350">
        <f t="shared" si="58"/>
        <v>1140.525547710168</v>
      </c>
      <c r="P173" s="373"/>
    </row>
    <row r="174" spans="1:16" ht="15" customHeight="1" x14ac:dyDescent="0.25">
      <c r="A174" s="343" t="s">
        <v>1070</v>
      </c>
      <c r="B174" s="343" t="s">
        <v>3</v>
      </c>
      <c r="C174" s="352" t="s">
        <v>78</v>
      </c>
      <c r="D174" s="282">
        <v>41514</v>
      </c>
      <c r="E174" s="343">
        <v>1</v>
      </c>
      <c r="F174" s="323">
        <v>1.2775000000000001</v>
      </c>
      <c r="G174" s="370"/>
      <c r="H174" s="319">
        <v>41522</v>
      </c>
      <c r="I174" s="354">
        <v>1.2796000000000001</v>
      </c>
      <c r="J174" s="324">
        <f>SUM(F174-I174)*10000</f>
        <v>-20.999999999999908</v>
      </c>
      <c r="K174" s="329">
        <f>SUM(100000/N174)/10000</f>
        <v>7.8149421694279457</v>
      </c>
      <c r="L174" s="351">
        <f>SUM((F174-I174)/J174*K174)*E174</f>
        <v>7.8149421694279466E-4</v>
      </c>
      <c r="M174" s="352" t="s">
        <v>885</v>
      </c>
      <c r="N174" s="354">
        <v>1.2796000000000001</v>
      </c>
      <c r="O174" s="350">
        <f t="shared" si="58"/>
        <v>-128.25397433415608</v>
      </c>
      <c r="P174" s="283"/>
    </row>
    <row r="175" spans="1:16" ht="15" customHeight="1" x14ac:dyDescent="0.25">
      <c r="A175" s="343" t="s">
        <v>1156</v>
      </c>
      <c r="B175" s="343" t="s">
        <v>3</v>
      </c>
      <c r="C175" s="352" t="s">
        <v>78</v>
      </c>
      <c r="D175" s="282">
        <v>41512</v>
      </c>
      <c r="E175" s="343">
        <v>1</v>
      </c>
      <c r="F175" s="323">
        <v>1.7219</v>
      </c>
      <c r="G175" s="370"/>
      <c r="H175" s="319">
        <v>41527</v>
      </c>
      <c r="I175" s="354">
        <v>1.6955</v>
      </c>
      <c r="J175" s="324">
        <f>SUM(F175-I175)*10000</f>
        <v>263.99999999999977</v>
      </c>
      <c r="K175" s="329">
        <f t="shared" ref="K175" si="59">SUM(100000/N175)/10000</f>
        <v>9.2263999999999999</v>
      </c>
      <c r="L175" s="351">
        <f>SUM((F175-I175)/J175*K175)*E175</f>
        <v>9.2264000000000007E-4</v>
      </c>
      <c r="M175" s="352" t="s">
        <v>885</v>
      </c>
      <c r="N175" s="357">
        <f>1/0.92264</f>
        <v>1.0838463539408654</v>
      </c>
      <c r="O175" s="350">
        <f t="shared" si="58"/>
        <v>2247.3384637439981</v>
      </c>
      <c r="P175" s="283"/>
    </row>
    <row r="176" spans="1:16" ht="15" customHeight="1" x14ac:dyDescent="0.25">
      <c r="A176" s="343" t="s">
        <v>1160</v>
      </c>
      <c r="B176" s="343" t="s">
        <v>3</v>
      </c>
      <c r="C176" s="352" t="s">
        <v>78</v>
      </c>
      <c r="D176" s="282">
        <v>41526</v>
      </c>
      <c r="E176" s="343">
        <v>1</v>
      </c>
      <c r="F176" s="323">
        <v>0.89810000000000001</v>
      </c>
      <c r="G176" s="370"/>
      <c r="H176" s="319">
        <v>41527</v>
      </c>
      <c r="I176" s="354">
        <v>0.90459999999999996</v>
      </c>
      <c r="J176" s="324">
        <f>SUM(F176-I176)*10000</f>
        <v>-64.999999999999503</v>
      </c>
      <c r="K176" s="329">
        <f t="shared" ref="K176" si="60">SUM(100000/N176)/10000</f>
        <v>10.729038141730594</v>
      </c>
      <c r="L176" s="351">
        <f>SUM((F176-I176)/J176*K176)*E176</f>
        <v>1.0729038141730595E-3</v>
      </c>
      <c r="M176" s="352" t="s">
        <v>885</v>
      </c>
      <c r="N176" s="357">
        <f>0.93205</f>
        <v>0.93205000000000005</v>
      </c>
      <c r="O176" s="350">
        <f t="shared" si="58"/>
        <v>-748.22968640360841</v>
      </c>
      <c r="P176" s="283"/>
    </row>
    <row r="177" spans="1:16" ht="15" customHeight="1" x14ac:dyDescent="0.25">
      <c r="A177" s="337" t="s">
        <v>1040</v>
      </c>
      <c r="B177" s="337" t="s">
        <v>3</v>
      </c>
      <c r="C177" s="345" t="s">
        <v>53</v>
      </c>
      <c r="D177" s="369">
        <v>41526</v>
      </c>
      <c r="E177" s="337">
        <v>1</v>
      </c>
      <c r="F177" s="93">
        <v>0.84419999999999995</v>
      </c>
      <c r="G177" s="366"/>
      <c r="H177" s="319">
        <v>41528</v>
      </c>
      <c r="I177" s="362">
        <v>0.84040000000000004</v>
      </c>
      <c r="J177" s="324">
        <f>SUM(I177-F177)*10000</f>
        <v>-37.999999999999147</v>
      </c>
      <c r="K177" s="32">
        <f>SUM(100000/N177)/10000</f>
        <v>15.731</v>
      </c>
      <c r="L177" s="349">
        <f>SUM((I177-F177)/J177*K177)*E177</f>
        <v>1.5730999999999998E-3</v>
      </c>
      <c r="M177" s="345" t="s">
        <v>885</v>
      </c>
      <c r="N177" s="356">
        <f>1/1.5731</f>
        <v>0.63568749602695318</v>
      </c>
      <c r="O177" s="350">
        <f t="shared" si="58"/>
        <v>-940.36457179997888</v>
      </c>
      <c r="P177" s="373"/>
    </row>
    <row r="178" spans="1:16" ht="15" customHeight="1" x14ac:dyDescent="0.25">
      <c r="A178" s="343" t="s">
        <v>1158</v>
      </c>
      <c r="B178" s="343" t="s">
        <v>3</v>
      </c>
      <c r="C178" s="352" t="s">
        <v>78</v>
      </c>
      <c r="D178" s="282">
        <v>41526</v>
      </c>
      <c r="E178" s="343">
        <v>1</v>
      </c>
      <c r="F178" s="323">
        <v>0.93400000000000005</v>
      </c>
      <c r="G178" s="370"/>
      <c r="H178" s="470">
        <v>41533</v>
      </c>
      <c r="I178" s="354">
        <v>0.92710000000000004</v>
      </c>
      <c r="J178" s="324">
        <f>SUM(F178-I178)*10000</f>
        <v>69.000000000000171</v>
      </c>
      <c r="K178" s="329">
        <f t="shared" ref="K178" si="61">SUM(100000/N178)/10000</f>
        <v>10.706638115631691</v>
      </c>
      <c r="L178" s="351">
        <f>SUM((F178-I178)/J178*K178)*E178</f>
        <v>1.0706638115631692E-3</v>
      </c>
      <c r="M178" s="352" t="s">
        <v>885</v>
      </c>
      <c r="N178" s="357">
        <f>0.934</f>
        <v>0.93400000000000005</v>
      </c>
      <c r="O178" s="350">
        <f t="shared" ref="O178:O186" si="62">SUM(J178*K178)/N178</f>
        <v>790.9614881997735</v>
      </c>
      <c r="P178" s="283"/>
    </row>
    <row r="179" spans="1:16" ht="15" customHeight="1" x14ac:dyDescent="0.25">
      <c r="A179" s="343" t="s">
        <v>1155</v>
      </c>
      <c r="B179" s="343" t="s">
        <v>3</v>
      </c>
      <c r="C179" s="352" t="s">
        <v>78</v>
      </c>
      <c r="D179" s="282">
        <v>41537</v>
      </c>
      <c r="E179" s="343">
        <v>1</v>
      </c>
      <c r="F179" s="323">
        <v>0.85770000000000002</v>
      </c>
      <c r="G179" s="370"/>
      <c r="H179" s="319">
        <v>41544</v>
      </c>
      <c r="I179" s="354">
        <v>0.84379999999999999</v>
      </c>
      <c r="J179" s="324">
        <f>SUM(F179-I179)*10000</f>
        <v>139.00000000000023</v>
      </c>
      <c r="K179" s="329">
        <f t="shared" ref="K179" si="63">SUM(100000/N179)/10000</f>
        <v>11.659088259298123</v>
      </c>
      <c r="L179" s="351">
        <f>SUM((F179-I179)/J179*K179)*E179</f>
        <v>1.1659088259298124E-3</v>
      </c>
      <c r="M179" s="352" t="s">
        <v>885</v>
      </c>
      <c r="N179" s="357">
        <v>0.85770000000000002</v>
      </c>
      <c r="O179" s="350">
        <f t="shared" si="62"/>
        <v>1889.4873126296395</v>
      </c>
      <c r="P179" s="283"/>
    </row>
    <row r="180" spans="1:16" ht="15" customHeight="1" x14ac:dyDescent="0.25">
      <c r="A180" s="343" t="s">
        <v>1157</v>
      </c>
      <c r="B180" s="343" t="s">
        <v>3</v>
      </c>
      <c r="C180" s="352" t="s">
        <v>78</v>
      </c>
      <c r="D180" s="282">
        <v>41548</v>
      </c>
      <c r="E180" s="343">
        <v>1</v>
      </c>
      <c r="F180" s="323">
        <v>1.6167</v>
      </c>
      <c r="G180" s="370"/>
      <c r="H180" s="319">
        <v>41556</v>
      </c>
      <c r="I180" s="354">
        <v>1.5998000000000001</v>
      </c>
      <c r="J180" s="324">
        <f>SUM(F180-I180)*10000</f>
        <v>168.99999999999915</v>
      </c>
      <c r="K180" s="329">
        <f>SUM(100000/N180)/10000</f>
        <v>6.1751265900950969</v>
      </c>
      <c r="L180" s="351">
        <f>SUM((F180-I180)/J180*K180)*E180</f>
        <v>6.1751265900950969E-4</v>
      </c>
      <c r="M180" s="352" t="s">
        <v>885</v>
      </c>
      <c r="N180" s="357">
        <v>1.6194</v>
      </c>
      <c r="O180" s="350">
        <f t="shared" si="62"/>
        <v>644.4339840225183</v>
      </c>
      <c r="P180" s="283"/>
    </row>
    <row r="181" spans="1:16" ht="15" customHeight="1" x14ac:dyDescent="0.25">
      <c r="A181" s="337" t="s">
        <v>1041</v>
      </c>
      <c r="B181" s="337" t="s">
        <v>3</v>
      </c>
      <c r="C181" s="345" t="s">
        <v>53</v>
      </c>
      <c r="D181" s="369">
        <v>41542</v>
      </c>
      <c r="E181" s="337">
        <v>1</v>
      </c>
      <c r="F181" s="93">
        <v>1.0314000000000001</v>
      </c>
      <c r="G181" s="366"/>
      <c r="H181" s="319">
        <v>41558</v>
      </c>
      <c r="I181" s="362">
        <v>1.0356099999999999</v>
      </c>
      <c r="J181" s="324">
        <f>SUM(I181-F181)*10000</f>
        <v>42.099999999998246</v>
      </c>
      <c r="K181" s="32">
        <f>SUM(100000/N181)/10000</f>
        <v>9.6561446876720005</v>
      </c>
      <c r="L181" s="349">
        <f>SUM((I181-F181)/J181*K181)*E181</f>
        <v>9.6561446876720013E-4</v>
      </c>
      <c r="M181" s="345" t="s">
        <v>885</v>
      </c>
      <c r="N181" s="362">
        <v>1.0356099999999999</v>
      </c>
      <c r="O181" s="350">
        <f t="shared" si="62"/>
        <v>392.54515826515222</v>
      </c>
      <c r="P181" s="373"/>
    </row>
    <row r="182" spans="1:16" ht="15" customHeight="1" x14ac:dyDescent="0.25">
      <c r="A182" s="343" t="s">
        <v>1045</v>
      </c>
      <c r="B182" s="343" t="s">
        <v>3</v>
      </c>
      <c r="C182" s="352" t="s">
        <v>78</v>
      </c>
      <c r="D182" s="282">
        <v>41555</v>
      </c>
      <c r="E182" s="343">
        <v>1</v>
      </c>
      <c r="F182" s="323">
        <v>1.3535999999999999</v>
      </c>
      <c r="G182" s="370"/>
      <c r="H182" s="319">
        <v>41564</v>
      </c>
      <c r="I182" s="354">
        <v>1.3603000000000001</v>
      </c>
      <c r="J182" s="324">
        <f>SUM(F182-I182)*10000</f>
        <v>-67.000000000001506</v>
      </c>
      <c r="K182" s="329">
        <f t="shared" ref="K182" si="64">SUM(100000/N182)/10000</f>
        <v>7.3556454578889303</v>
      </c>
      <c r="L182" s="351">
        <f>SUM((F182-I182)/J182*K182)*E182</f>
        <v>7.35564545788893E-4</v>
      </c>
      <c r="M182" s="352" t="s">
        <v>885</v>
      </c>
      <c r="N182" s="357">
        <v>1.3594999999999999</v>
      </c>
      <c r="O182" s="350">
        <f t="shared" si="62"/>
        <v>-362.50698468449389</v>
      </c>
      <c r="P182" s="283"/>
    </row>
    <row r="183" spans="1:16" ht="15" customHeight="1" x14ac:dyDescent="0.25">
      <c r="A183" s="343" t="s">
        <v>1185</v>
      </c>
      <c r="B183" s="343" t="s">
        <v>3</v>
      </c>
      <c r="C183" s="352" t="s">
        <v>78</v>
      </c>
      <c r="D183" s="282">
        <v>41561</v>
      </c>
      <c r="E183" s="343">
        <v>1</v>
      </c>
      <c r="F183" s="323">
        <v>1.64741</v>
      </c>
      <c r="G183" s="370"/>
      <c r="H183" s="319">
        <v>41569</v>
      </c>
      <c r="I183" s="354">
        <v>1.6701999999999999</v>
      </c>
      <c r="J183" s="324">
        <f>SUM(F183-I183)*10000</f>
        <v>-227.89999999999867</v>
      </c>
      <c r="K183" s="329">
        <f t="shared" ref="K183" si="65">SUM(100000/N183)/10000</f>
        <v>6.0503388189738621</v>
      </c>
      <c r="L183" s="351">
        <f>SUM((F183-I183)/J183*K183)*E183</f>
        <v>6.0503388189738611E-4</v>
      </c>
      <c r="M183" s="352" t="s">
        <v>885</v>
      </c>
      <c r="N183" s="357">
        <v>1.6528</v>
      </c>
      <c r="O183" s="350">
        <f t="shared" si="62"/>
        <v>-834.26440999766169</v>
      </c>
      <c r="P183" s="283"/>
    </row>
    <row r="184" spans="1:16" ht="15" customHeight="1" x14ac:dyDescent="0.25">
      <c r="A184" s="337" t="s">
        <v>1130</v>
      </c>
      <c r="B184" s="337" t="s">
        <v>3</v>
      </c>
      <c r="C184" s="345" t="s">
        <v>53</v>
      </c>
      <c r="D184" s="369">
        <v>41561</v>
      </c>
      <c r="E184" s="337">
        <v>1</v>
      </c>
      <c r="F184" s="93">
        <v>1.1846000000000001</v>
      </c>
      <c r="G184" s="366"/>
      <c r="H184" s="319">
        <v>41569</v>
      </c>
      <c r="I184" s="362">
        <v>1.2039</v>
      </c>
      <c r="J184" s="324">
        <f>SUM(I184-F184)*10000</f>
        <v>192.99999999999872</v>
      </c>
      <c r="K184" s="32">
        <f>SUM(100000/N184)/10000</f>
        <v>8.4366826963637891</v>
      </c>
      <c r="L184" s="349">
        <f>SUM((I184-F184)/J184*K184)*E184</f>
        <v>8.4366826963637898E-4</v>
      </c>
      <c r="M184" s="345" t="s">
        <v>885</v>
      </c>
      <c r="N184" s="356">
        <v>1.1853</v>
      </c>
      <c r="O184" s="350">
        <f t="shared" si="62"/>
        <v>1373.7279679390876</v>
      </c>
      <c r="P184" s="373"/>
    </row>
    <row r="185" spans="1:16" ht="15" customHeight="1" x14ac:dyDescent="0.25">
      <c r="A185" s="337" t="s">
        <v>1152</v>
      </c>
      <c r="B185" s="337" t="s">
        <v>3</v>
      </c>
      <c r="C185" s="345" t="s">
        <v>53</v>
      </c>
      <c r="D185" s="369">
        <v>41558</v>
      </c>
      <c r="E185" s="337">
        <v>1</v>
      </c>
      <c r="F185" s="93">
        <v>81.55</v>
      </c>
      <c r="G185" s="366"/>
      <c r="H185" s="319">
        <v>41571</v>
      </c>
      <c r="I185" s="362">
        <v>83.67</v>
      </c>
      <c r="J185" s="324">
        <f>SUM(I185-F185)*10000</f>
        <v>21200.000000000044</v>
      </c>
      <c r="K185" s="32">
        <f>SUM(100000/N185)/100</f>
        <v>10.188487009679061</v>
      </c>
      <c r="L185" s="349">
        <f>SUM((I185-F185)/J185*K185)*E185</f>
        <v>1.0188487009679063E-3</v>
      </c>
      <c r="M185" s="345" t="s">
        <v>885</v>
      </c>
      <c r="N185" s="356">
        <v>98.15</v>
      </c>
      <c r="O185" s="350">
        <f t="shared" si="62"/>
        <v>2200.6716719836631</v>
      </c>
      <c r="P185" s="373"/>
    </row>
    <row r="186" spans="1:16" ht="15" customHeight="1" x14ac:dyDescent="0.25">
      <c r="A186" s="337" t="s">
        <v>1167</v>
      </c>
      <c r="B186" s="337" t="s">
        <v>3</v>
      </c>
      <c r="C186" s="345" t="s">
        <v>53</v>
      </c>
      <c r="D186" s="369">
        <v>41569</v>
      </c>
      <c r="E186" s="337">
        <v>1</v>
      </c>
      <c r="F186" s="93">
        <v>94.9</v>
      </c>
      <c r="G186" s="366"/>
      <c r="H186" s="319">
        <v>41570</v>
      </c>
      <c r="I186" s="362">
        <v>93.96</v>
      </c>
      <c r="J186" s="324">
        <f>SUM(I186-F186)*10000</f>
        <v>-9400.0000000001201</v>
      </c>
      <c r="K186" s="32">
        <f>SUM(100000/N186)/100</f>
        <v>10.271158586688578</v>
      </c>
      <c r="L186" s="349">
        <f>SUM((I186-F186)/J186*K186)*E186</f>
        <v>1.0271158586688577E-3</v>
      </c>
      <c r="M186" s="345" t="s">
        <v>885</v>
      </c>
      <c r="N186" s="356">
        <v>97.36</v>
      </c>
      <c r="O186" s="350">
        <f t="shared" si="62"/>
        <v>-991.66896790133387</v>
      </c>
      <c r="P186" s="373"/>
    </row>
    <row r="187" spans="1:16" ht="15" customHeight="1" x14ac:dyDescent="0.25">
      <c r="A187" s="343" t="s">
        <v>1155</v>
      </c>
      <c r="B187" s="343" t="s">
        <v>3</v>
      </c>
      <c r="C187" s="352" t="s">
        <v>78</v>
      </c>
      <c r="D187" s="282">
        <v>41576</v>
      </c>
      <c r="E187" s="343">
        <v>1</v>
      </c>
      <c r="F187" s="323">
        <v>0.8528</v>
      </c>
      <c r="G187" s="370"/>
      <c r="H187" s="319">
        <v>41579</v>
      </c>
      <c r="I187" s="354">
        <v>0.86060000000000003</v>
      </c>
      <c r="J187" s="324">
        <f>SUM(F187-I187)*10000</f>
        <v>-78.000000000000284</v>
      </c>
      <c r="K187" s="329">
        <f>SUM(100000/N187)/10000</f>
        <v>11.029006286533585</v>
      </c>
      <c r="L187" s="351">
        <f>SUM((F187-I187)/J187*K187)*E187</f>
        <v>1.1029006286533585E-3</v>
      </c>
      <c r="M187" s="352" t="s">
        <v>885</v>
      </c>
      <c r="N187" s="357">
        <v>0.90669999999999995</v>
      </c>
      <c r="O187" s="350">
        <f t="shared" ref="O187:O191" si="66">SUM(J187*K187)/N187</f>
        <v>-948.78404141350268</v>
      </c>
      <c r="P187" s="283"/>
    </row>
    <row r="188" spans="1:16" ht="15" customHeight="1" x14ac:dyDescent="0.25">
      <c r="A188" s="337" t="s">
        <v>1156</v>
      </c>
      <c r="B188" s="337" t="s">
        <v>3</v>
      </c>
      <c r="C188" s="345" t="s">
        <v>53</v>
      </c>
      <c r="D188" s="369">
        <v>41577</v>
      </c>
      <c r="E188" s="337">
        <v>1</v>
      </c>
      <c r="F188" s="93">
        <v>1.6948000000000001</v>
      </c>
      <c r="G188" s="366"/>
      <c r="H188" s="319">
        <v>41582</v>
      </c>
      <c r="I188" s="362">
        <v>1.6812</v>
      </c>
      <c r="J188" s="324">
        <f>SUM(I188-F188)*10000</f>
        <v>-136.00000000000057</v>
      </c>
      <c r="K188" s="32">
        <f>SUM(100000/N188)/10000</f>
        <v>9.4809999999999999</v>
      </c>
      <c r="L188" s="349">
        <f>SUM((I188-F188)/J188*K188)*E188</f>
        <v>9.480999999999999E-4</v>
      </c>
      <c r="M188" s="345" t="s">
        <v>885</v>
      </c>
      <c r="N188" s="356">
        <f>1/0.9481</f>
        <v>1.0547410610695074</v>
      </c>
      <c r="O188" s="350">
        <f t="shared" si="66"/>
        <v>-1222.4953096000052</v>
      </c>
      <c r="P188" s="373"/>
    </row>
    <row r="189" spans="1:16" ht="15" customHeight="1" x14ac:dyDescent="0.25">
      <c r="A189" s="343" t="s">
        <v>1162</v>
      </c>
      <c r="B189" s="343" t="s">
        <v>3</v>
      </c>
      <c r="C189" s="352" t="s">
        <v>78</v>
      </c>
      <c r="D189" s="282">
        <v>41576</v>
      </c>
      <c r="E189" s="343">
        <v>1</v>
      </c>
      <c r="F189" s="323">
        <v>156.88</v>
      </c>
      <c r="G189" s="370"/>
      <c r="H189" s="319">
        <v>41584</v>
      </c>
      <c r="I189" s="354">
        <v>158.31</v>
      </c>
      <c r="J189" s="324">
        <f>SUM(F189-I189)*10000</f>
        <v>-14300.000000000069</v>
      </c>
      <c r="K189" s="329">
        <f>SUM(100000/N189)/100</f>
        <v>10.186411327289397</v>
      </c>
      <c r="L189" s="351">
        <f>SUM((F189-I189)/J189*K189)*E189</f>
        <v>1.0186411327289396E-3</v>
      </c>
      <c r="M189" s="352" t="s">
        <v>885</v>
      </c>
      <c r="N189" s="357">
        <v>98.17</v>
      </c>
      <c r="O189" s="350">
        <f t="shared" si="66"/>
        <v>-1483.8105529208422</v>
      </c>
      <c r="P189" s="283"/>
    </row>
    <row r="190" spans="1:16" ht="15" customHeight="1" x14ac:dyDescent="0.25">
      <c r="A190" s="337" t="s">
        <v>1152</v>
      </c>
      <c r="B190" s="337" t="s">
        <v>3</v>
      </c>
      <c r="C190" s="345" t="s">
        <v>53</v>
      </c>
      <c r="D190" s="369">
        <v>41577</v>
      </c>
      <c r="E190" s="337">
        <v>1</v>
      </c>
      <c r="F190" s="93">
        <v>81.400000000000006</v>
      </c>
      <c r="G190" s="366"/>
      <c r="H190" s="319">
        <v>41585</v>
      </c>
      <c r="I190" s="362">
        <v>81.540000000000006</v>
      </c>
      <c r="J190" s="324">
        <f>SUM(I190-F190)*10000</f>
        <v>1400.0000000000057</v>
      </c>
      <c r="K190" s="32">
        <f>SUM(100000/N190)/100</f>
        <v>10.152284263959391</v>
      </c>
      <c r="L190" s="349">
        <f>SUM((I190-F190)/J190*K190)*E190</f>
        <v>1.0152284263959391E-3</v>
      </c>
      <c r="M190" s="345" t="s">
        <v>885</v>
      </c>
      <c r="N190" s="356">
        <v>98.5</v>
      </c>
      <c r="O190" s="350">
        <f t="shared" si="66"/>
        <v>144.29642608673305</v>
      </c>
      <c r="P190" s="373"/>
    </row>
    <row r="191" spans="1:16" ht="15" customHeight="1" x14ac:dyDescent="0.25">
      <c r="A191" s="337" t="s">
        <v>1188</v>
      </c>
      <c r="B191" s="337" t="s">
        <v>3</v>
      </c>
      <c r="C191" s="345" t="s">
        <v>53</v>
      </c>
      <c r="D191" s="369">
        <v>41585</v>
      </c>
      <c r="E191" s="337">
        <v>1</v>
      </c>
      <c r="F191" s="93">
        <v>1.9152</v>
      </c>
      <c r="G191" s="366"/>
      <c r="H191" s="319">
        <v>41586</v>
      </c>
      <c r="I191" s="362">
        <v>1.9446000000000001</v>
      </c>
      <c r="J191" s="324">
        <f>SUM(I191-F191)*10000</f>
        <v>294.00000000000091</v>
      </c>
      <c r="K191" s="32">
        <f>SUM(100000/N191)/10000</f>
        <v>8.322237017310254</v>
      </c>
      <c r="L191" s="349">
        <f>SUM((I191-F191)/J191*K191)*E191</f>
        <v>8.3222370173102549E-4</v>
      </c>
      <c r="M191" s="345" t="s">
        <v>885</v>
      </c>
      <c r="N191" s="356">
        <v>1.2016</v>
      </c>
      <c r="O191" s="350">
        <f t="shared" si="66"/>
        <v>2036.2330917853046</v>
      </c>
      <c r="P191" s="373"/>
    </row>
    <row r="192" spans="1:16" ht="15" customHeight="1" x14ac:dyDescent="0.25">
      <c r="A192" s="337" t="s">
        <v>1159</v>
      </c>
      <c r="B192" s="337" t="s">
        <v>3</v>
      </c>
      <c r="C192" s="345" t="s">
        <v>53</v>
      </c>
      <c r="D192" s="369">
        <v>41586</v>
      </c>
      <c r="E192" s="337">
        <v>1</v>
      </c>
      <c r="F192" s="93">
        <v>1.1375999999999999</v>
      </c>
      <c r="G192" s="366"/>
      <c r="H192" s="319">
        <v>41590</v>
      </c>
      <c r="I192" s="362">
        <v>1.1304000000000001</v>
      </c>
      <c r="J192" s="324">
        <f>SUM(I192-F192)*10000</f>
        <v>-71.999999999998735</v>
      </c>
      <c r="K192" s="32">
        <f>SUM(100000/N192)/10000</f>
        <v>8.257638315441783</v>
      </c>
      <c r="L192" s="349">
        <f>SUM((I192-F192)/J192*K192)*E192</f>
        <v>8.2576383154417822E-4</v>
      </c>
      <c r="M192" s="345" t="s">
        <v>885</v>
      </c>
      <c r="N192" s="356">
        <v>1.2110000000000001</v>
      </c>
      <c r="O192" s="350">
        <f>SUM(J192*K192)/N192</f>
        <v>-490.95785195028725</v>
      </c>
      <c r="P192" s="373"/>
    </row>
    <row r="193" spans="1:16" ht="15" customHeight="1" x14ac:dyDescent="0.25">
      <c r="A193" s="343" t="s">
        <v>1151</v>
      </c>
      <c r="B193" s="343" t="s">
        <v>3</v>
      </c>
      <c r="C193" s="352" t="s">
        <v>78</v>
      </c>
      <c r="D193" s="282">
        <v>41585</v>
      </c>
      <c r="E193" s="343">
        <v>1</v>
      </c>
      <c r="F193" s="323">
        <v>1.3995</v>
      </c>
      <c r="G193" s="370"/>
      <c r="H193" s="319">
        <v>41590</v>
      </c>
      <c r="I193" s="354">
        <v>1.41</v>
      </c>
      <c r="J193" s="324">
        <f t="shared" ref="J193:J194" si="67">SUM(F193-I193)*10000</f>
        <v>-104.99999999999955</v>
      </c>
      <c r="K193" s="329">
        <f t="shared" ref="K193:K195" si="68">SUM(100000/N193)/10000</f>
        <v>9.5283468318246776</v>
      </c>
      <c r="L193" s="351">
        <f t="shared" ref="L193:L194" si="69">SUM((F193-I193)/J193*K193)*E193</f>
        <v>9.5283468318246769E-4</v>
      </c>
      <c r="M193" s="352" t="s">
        <v>885</v>
      </c>
      <c r="N193" s="357">
        <v>1.0495000000000001</v>
      </c>
      <c r="O193" s="350">
        <f t="shared" ref="O193:O195" si="70">SUM(J193*K193)/N193</f>
        <v>-953.28863014920125</v>
      </c>
      <c r="P193" s="283"/>
    </row>
    <row r="194" spans="1:16" ht="15" customHeight="1" x14ac:dyDescent="0.25">
      <c r="A194" s="343" t="s">
        <v>1045</v>
      </c>
      <c r="B194" s="343" t="s">
        <v>3</v>
      </c>
      <c r="C194" s="352" t="s">
        <v>78</v>
      </c>
      <c r="D194" s="282">
        <v>41585</v>
      </c>
      <c r="E194" s="343">
        <v>1</v>
      </c>
      <c r="F194" s="323">
        <v>1.3440000000000001</v>
      </c>
      <c r="G194" s="370"/>
      <c r="H194" s="319">
        <v>41591</v>
      </c>
      <c r="I194" s="354">
        <v>1.3462000000000001</v>
      </c>
      <c r="J194" s="324">
        <f t="shared" si="67"/>
        <v>-21.999999999999797</v>
      </c>
      <c r="K194" s="329">
        <f t="shared" si="68"/>
        <v>10</v>
      </c>
      <c r="L194" s="351">
        <f t="shared" si="69"/>
        <v>1E-3</v>
      </c>
      <c r="M194" s="352" t="s">
        <v>885</v>
      </c>
      <c r="N194" s="357">
        <v>1</v>
      </c>
      <c r="O194" s="350">
        <f t="shared" si="70"/>
        <v>-219.99999999999798</v>
      </c>
      <c r="P194" s="283"/>
    </row>
    <row r="195" spans="1:16" ht="15" customHeight="1" x14ac:dyDescent="0.25">
      <c r="A195" s="337" t="s">
        <v>1158</v>
      </c>
      <c r="B195" s="337" t="s">
        <v>3</v>
      </c>
      <c r="C195" s="345" t="s">
        <v>53</v>
      </c>
      <c r="D195" s="369">
        <v>41585</v>
      </c>
      <c r="E195" s="337">
        <v>1</v>
      </c>
      <c r="F195" s="93">
        <v>0.91520000000000001</v>
      </c>
      <c r="G195" s="366"/>
      <c r="H195" s="319">
        <v>41591</v>
      </c>
      <c r="I195" s="362">
        <v>0.91369999999999996</v>
      </c>
      <c r="J195" s="324">
        <f t="shared" ref="J195" si="71">SUM(I195-F195)*10000</f>
        <v>-15.000000000000568</v>
      </c>
      <c r="K195" s="32">
        <f t="shared" si="68"/>
        <v>10.877841836179702</v>
      </c>
      <c r="L195" s="349">
        <f t="shared" ref="L195" si="72">SUM((I195-F195)/J195*K195)*E195</f>
        <v>1.0877841836179703E-3</v>
      </c>
      <c r="M195" s="345" t="s">
        <v>885</v>
      </c>
      <c r="N195" s="356">
        <v>0.91930000000000001</v>
      </c>
      <c r="O195" s="350">
        <f t="shared" si="70"/>
        <v>-177.49116451941879</v>
      </c>
      <c r="P195" s="373"/>
    </row>
    <row r="196" spans="1:16" ht="15" customHeight="1" x14ac:dyDescent="0.25">
      <c r="A196" s="337"/>
      <c r="B196" s="337"/>
      <c r="C196" s="345"/>
      <c r="D196" s="369"/>
      <c r="E196" s="337"/>
      <c r="F196" s="93"/>
      <c r="G196" s="366"/>
      <c r="H196" s="319"/>
      <c r="I196" s="362"/>
      <c r="J196" s="324"/>
      <c r="K196" s="32"/>
      <c r="L196" s="349"/>
      <c r="M196" s="345"/>
      <c r="N196" s="356"/>
      <c r="O196" s="350"/>
      <c r="P196" s="373"/>
    </row>
    <row r="197" spans="1:16" ht="15" customHeight="1" x14ac:dyDescent="0.25">
      <c r="A197" s="337"/>
      <c r="B197" s="337"/>
      <c r="C197" s="345"/>
      <c r="D197" s="369"/>
      <c r="E197" s="337"/>
      <c r="F197" s="93"/>
      <c r="G197" s="366"/>
      <c r="H197" s="319"/>
      <c r="I197" s="362"/>
      <c r="J197" s="324"/>
      <c r="K197" s="32"/>
      <c r="L197" s="349"/>
      <c r="M197" s="345"/>
      <c r="N197" s="356"/>
      <c r="O197" s="350"/>
      <c r="P197" s="373"/>
    </row>
    <row r="200" spans="1:16" ht="16.5" thickBot="1" x14ac:dyDescent="0.3">
      <c r="A200" s="39" t="s">
        <v>1291</v>
      </c>
      <c r="B200" s="39"/>
      <c r="C200" s="75"/>
      <c r="D200" s="39"/>
      <c r="E200" s="39"/>
      <c r="F200" s="256"/>
      <c r="G200" s="41"/>
      <c r="H200" s="437"/>
      <c r="I200" s="256"/>
      <c r="J200" s="100"/>
      <c r="K200" s="40"/>
      <c r="L200" s="113"/>
      <c r="M200" s="75"/>
      <c r="N200" s="174"/>
      <c r="O200" s="239">
        <f>SUM(O34:O199)</f>
        <v>-18740.833445205109</v>
      </c>
      <c r="P200" s="41"/>
    </row>
    <row r="201" spans="1:16" ht="15.75" thickTop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deon</cp:lastModifiedBy>
  <cp:lastPrinted>2013-01-27T18:41:00Z</cp:lastPrinted>
  <dcterms:created xsi:type="dcterms:W3CDTF">2010-12-04T03:53:07Z</dcterms:created>
  <dcterms:modified xsi:type="dcterms:W3CDTF">2013-11-27T13:23:14Z</dcterms:modified>
</cp:coreProperties>
</file>