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'!$A$7:$N$328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'!$A$7:$N$328</definedName>
  </definedNames>
  <calcPr calcId="1257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N16" i="13"/>
  <c r="Q16" s="1"/>
  <c r="K34" i="12"/>
  <c r="G34"/>
  <c r="K24"/>
  <c r="G24"/>
  <c r="K16"/>
  <c r="G16"/>
  <c r="N15" i="14"/>
  <c r="Q15" s="1"/>
  <c r="N14"/>
  <c r="Q14" s="1"/>
  <c r="K27" i="12"/>
  <c r="G27"/>
  <c r="K15"/>
  <c r="G15"/>
  <c r="N169" i="14"/>
  <c r="Q169" s="1"/>
  <c r="N13"/>
  <c r="Q13" s="1"/>
  <c r="N168"/>
  <c r="Q168" s="1"/>
  <c r="N170"/>
  <c r="Q170" s="1"/>
  <c r="N162"/>
  <c r="Q162" s="1"/>
  <c r="N164"/>
  <c r="Q164" s="1"/>
  <c r="N161"/>
  <c r="Q161" s="1"/>
  <c r="N15" i="13"/>
  <c r="Q15" s="1"/>
  <c r="N146"/>
  <c r="Q146" s="1"/>
  <c r="N145"/>
  <c r="Q145" s="1"/>
  <c r="K25" i="12"/>
  <c r="L25" s="1"/>
  <c r="N25" s="1"/>
  <c r="G25"/>
  <c r="K13"/>
  <c r="G13"/>
  <c r="K23"/>
  <c r="L23" s="1"/>
  <c r="N23" s="1"/>
  <c r="G23"/>
  <c r="N159" i="14"/>
  <c r="Q159" s="1"/>
  <c r="N167"/>
  <c r="Q167" s="1"/>
  <c r="K14" i="12"/>
  <c r="G14"/>
  <c r="K199" i="10"/>
  <c r="G199"/>
  <c r="K198"/>
  <c r="G198"/>
  <c r="N147" i="13"/>
  <c r="Q147" s="1"/>
  <c r="K14" i="15"/>
  <c r="J14"/>
  <c r="L14" s="1"/>
  <c r="N144" i="13"/>
  <c r="Q144" s="1"/>
  <c r="K13" i="15"/>
  <c r="J13"/>
  <c r="N166" i="14"/>
  <c r="Q166" s="1"/>
  <c r="N142" i="13"/>
  <c r="Q142" s="1"/>
  <c r="N158" i="14"/>
  <c r="Q158" s="1"/>
  <c r="N160"/>
  <c r="Q160" s="1"/>
  <c r="K430" i="12"/>
  <c r="G430"/>
  <c r="N163" i="14"/>
  <c r="Q163" s="1"/>
  <c r="N157"/>
  <c r="Q157" s="1"/>
  <c r="N165"/>
  <c r="Q165" s="1"/>
  <c r="K425" i="12"/>
  <c r="G425"/>
  <c r="K28"/>
  <c r="G28"/>
  <c r="N156" i="14"/>
  <c r="Q156" s="1"/>
  <c r="K420" i="12"/>
  <c r="G420"/>
  <c r="K19"/>
  <c r="G19"/>
  <c r="K312" i="8"/>
  <c r="G312"/>
  <c r="K424" i="12"/>
  <c r="G424"/>
  <c r="K20"/>
  <c r="G20"/>
  <c r="K33"/>
  <c r="G33"/>
  <c r="K30"/>
  <c r="G30"/>
  <c r="K26"/>
  <c r="G26"/>
  <c r="K18"/>
  <c r="G18"/>
  <c r="K423"/>
  <c r="G423"/>
  <c r="N154" i="14"/>
  <c r="Q154" s="1"/>
  <c r="N153"/>
  <c r="Q153" s="1"/>
  <c r="N152"/>
  <c r="Q152" s="1"/>
  <c r="N148" i="13"/>
  <c r="Q148" s="1"/>
  <c r="K17" i="12"/>
  <c r="G17"/>
  <c r="K309" i="8"/>
  <c r="G309"/>
  <c r="N138" i="13"/>
  <c r="Q138" s="1"/>
  <c r="N139"/>
  <c r="Q139" s="1"/>
  <c r="N140"/>
  <c r="Q140" s="1"/>
  <c r="K200" i="10"/>
  <c r="G200"/>
  <c r="K236" i="15"/>
  <c r="J236"/>
  <c r="K192" i="10"/>
  <c r="G192"/>
  <c r="K306" i="8"/>
  <c r="L306" s="1"/>
  <c r="N306" s="1"/>
  <c r="G306"/>
  <c r="N150" i="14"/>
  <c r="Q150" s="1"/>
  <c r="N151"/>
  <c r="Q151" s="1"/>
  <c r="N148"/>
  <c r="Q148" s="1"/>
  <c r="N149"/>
  <c r="Q149" s="1"/>
  <c r="N143" i="13"/>
  <c r="Q143" s="1"/>
  <c r="K193" i="10"/>
  <c r="G193"/>
  <c r="K196"/>
  <c r="G196"/>
  <c r="N155" i="14"/>
  <c r="Q155" s="1"/>
  <c r="K195" i="10"/>
  <c r="G195"/>
  <c r="N147" i="14"/>
  <c r="Q147" s="1"/>
  <c r="K235" i="15"/>
  <c r="J235"/>
  <c r="K416" i="12"/>
  <c r="K197" i="10"/>
  <c r="G197"/>
  <c r="K311" i="8"/>
  <c r="G311"/>
  <c r="K304"/>
  <c r="G304"/>
  <c r="K422" i="12"/>
  <c r="G422"/>
  <c r="K307" i="8"/>
  <c r="G307"/>
  <c r="K409" i="12"/>
  <c r="G409"/>
  <c r="K234" i="15"/>
  <c r="J234"/>
  <c r="K417" i="12"/>
  <c r="G417"/>
  <c r="K308" i="8"/>
  <c r="G308"/>
  <c r="L34" i="12" l="1"/>
  <c r="N34" s="1"/>
  <c r="L16"/>
  <c r="N16" s="1"/>
  <c r="L24"/>
  <c r="N24" s="1"/>
  <c r="L27"/>
  <c r="N27" s="1"/>
  <c r="L15"/>
  <c r="N15" s="1"/>
  <c r="L13"/>
  <c r="N13" s="1"/>
  <c r="L19"/>
  <c r="N19" s="1"/>
  <c r="L424"/>
  <c r="N424" s="1"/>
  <c r="L14"/>
  <c r="N14" s="1"/>
  <c r="L199" i="10"/>
  <c r="N199"/>
  <c r="L198"/>
  <c r="N198"/>
  <c r="O13" i="15"/>
  <c r="O14"/>
  <c r="L13"/>
  <c r="L430" i="12"/>
  <c r="N430" s="1"/>
  <c r="L425"/>
  <c r="N425" s="1"/>
  <c r="L28"/>
  <c r="N28" s="1"/>
  <c r="L312" i="8"/>
  <c r="N312" s="1"/>
  <c r="L420" i="12"/>
  <c r="N420" s="1"/>
  <c r="L20"/>
  <c r="N20" s="1"/>
  <c r="L17"/>
  <c r="N17" s="1"/>
  <c r="L33"/>
  <c r="N33" s="1"/>
  <c r="L30"/>
  <c r="N30" s="1"/>
  <c r="L26"/>
  <c r="N26" s="1"/>
  <c r="L18"/>
  <c r="N18" s="1"/>
  <c r="L423"/>
  <c r="N423" s="1"/>
  <c r="L309" i="8"/>
  <c r="N309" s="1"/>
  <c r="L200" i="10"/>
  <c r="N200"/>
  <c r="L236" i="15"/>
  <c r="L235"/>
  <c r="O236"/>
  <c r="L192" i="10"/>
  <c r="N192"/>
  <c r="L193"/>
  <c r="N193"/>
  <c r="N196"/>
  <c r="L196"/>
  <c r="L422" i="12"/>
  <c r="N422" s="1"/>
  <c r="N195" i="10"/>
  <c r="L195"/>
  <c r="O235" i="15"/>
  <c r="L197" i="10"/>
  <c r="N197"/>
  <c r="O234" i="15"/>
  <c r="L311" i="8"/>
  <c r="N311" s="1"/>
  <c r="L304"/>
  <c r="N304" s="1"/>
  <c r="L307"/>
  <c r="N307" s="1"/>
  <c r="L409" i="12"/>
  <c r="N409" s="1"/>
  <c r="L234" i="15"/>
  <c r="L417" i="12"/>
  <c r="N417" s="1"/>
  <c r="L308" i="8"/>
  <c r="N308" s="1"/>
  <c r="K407" i="12"/>
  <c r="G407"/>
  <c r="N14" i="13"/>
  <c r="Q14" s="1"/>
  <c r="K421" i="12"/>
  <c r="G421"/>
  <c r="N146" i="14"/>
  <c r="Q146" s="1"/>
  <c r="K403" i="12"/>
  <c r="G403"/>
  <c r="K233" i="15"/>
  <c r="J233"/>
  <c r="K232"/>
  <c r="J232"/>
  <c r="N141" i="13"/>
  <c r="Q141" s="1"/>
  <c r="K32" i="12"/>
  <c r="G32"/>
  <c r="K402"/>
  <c r="G402"/>
  <c r="K426"/>
  <c r="G426"/>
  <c r="K401"/>
  <c r="G401"/>
  <c r="K14" i="10"/>
  <c r="G14"/>
  <c r="K310" i="8"/>
  <c r="G310"/>
  <c r="K191" i="10"/>
  <c r="G191"/>
  <c r="K190"/>
  <c r="G190"/>
  <c r="K398" i="12"/>
  <c r="G398"/>
  <c r="K404"/>
  <c r="G404"/>
  <c r="K429"/>
  <c r="G429"/>
  <c r="K419"/>
  <c r="G419"/>
  <c r="K303" i="8"/>
  <c r="G303"/>
  <c r="K14"/>
  <c r="G14"/>
  <c r="K301"/>
  <c r="G301"/>
  <c r="L407" i="12" l="1"/>
  <c r="N407" s="1"/>
  <c r="L404"/>
  <c r="N404" s="1"/>
  <c r="L426"/>
  <c r="N426" s="1"/>
  <c r="L301" i="8"/>
  <c r="N301" s="1"/>
  <c r="L303"/>
  <c r="N303" s="1"/>
  <c r="L421" i="12"/>
  <c r="N421" s="1"/>
  <c r="L403"/>
  <c r="N403" s="1"/>
  <c r="L233" i="15"/>
  <c r="O233"/>
  <c r="L232"/>
  <c r="O232"/>
  <c r="L401" i="12"/>
  <c r="N401" s="1"/>
  <c r="L32"/>
  <c r="N32" s="1"/>
  <c r="L402"/>
  <c r="N402" s="1"/>
  <c r="N14" i="10"/>
  <c r="L14"/>
  <c r="L310" i="8"/>
  <c r="N310" s="1"/>
  <c r="L398" i="12"/>
  <c r="N398" s="1"/>
  <c r="N190" i="10"/>
  <c r="L190"/>
  <c r="L191"/>
  <c r="N191"/>
  <c r="L419" i="12"/>
  <c r="N419" s="1"/>
  <c r="L429"/>
  <c r="N429" s="1"/>
  <c r="L14" i="8"/>
  <c r="N14" s="1"/>
  <c r="K405" i="12"/>
  <c r="G405"/>
  <c r="K231" i="15"/>
  <c r="J231"/>
  <c r="K300" i="8"/>
  <c r="G300"/>
  <c r="K399" i="12"/>
  <c r="G399"/>
  <c r="K230" i="15"/>
  <c r="J230"/>
  <c r="K415" i="12"/>
  <c r="G415"/>
  <c r="N137" i="13"/>
  <c r="Q137" s="1"/>
  <c r="N144" i="14"/>
  <c r="Q144" s="1"/>
  <c r="K406" i="12"/>
  <c r="G406"/>
  <c r="N143" i="14"/>
  <c r="Q143" s="1"/>
  <c r="L231" i="15" l="1"/>
  <c r="L399" i="12"/>
  <c r="N399" s="1"/>
  <c r="L405"/>
  <c r="N405" s="1"/>
  <c r="O231" i="15"/>
  <c r="L406" i="12"/>
  <c r="N406" s="1"/>
  <c r="L300" i="8"/>
  <c r="N300" s="1"/>
  <c r="L230" i="15"/>
  <c r="O230"/>
  <c r="L415" i="12"/>
  <c r="N415" s="1"/>
  <c r="K397"/>
  <c r="G397"/>
  <c r="K396"/>
  <c r="G396"/>
  <c r="G305" i="8"/>
  <c r="K305"/>
  <c r="G302"/>
  <c r="K302"/>
  <c r="G298"/>
  <c r="K298"/>
  <c r="G297"/>
  <c r="K297"/>
  <c r="G299"/>
  <c r="K299"/>
  <c r="G296"/>
  <c r="K296"/>
  <c r="K228" i="15"/>
  <c r="N140" i="14"/>
  <c r="Q140" s="1"/>
  <c r="N141"/>
  <c r="Q141" s="1"/>
  <c r="K29" i="12"/>
  <c r="G29"/>
  <c r="K413"/>
  <c r="G413"/>
  <c r="K411"/>
  <c r="G411"/>
  <c r="N136" i="14"/>
  <c r="Q136" s="1"/>
  <c r="N139"/>
  <c r="Q139" s="1"/>
  <c r="N138"/>
  <c r="Q138" s="1"/>
  <c r="K187" i="10"/>
  <c r="G187"/>
  <c r="K186"/>
  <c r="G186"/>
  <c r="K418" i="12"/>
  <c r="G418"/>
  <c r="K427"/>
  <c r="G427"/>
  <c r="J228" i="15"/>
  <c r="N133" i="14"/>
  <c r="Q133" s="1"/>
  <c r="N131"/>
  <c r="Q131" s="1"/>
  <c r="N142"/>
  <c r="Q142" s="1"/>
  <c r="N135"/>
  <c r="Q135" s="1"/>
  <c r="N145"/>
  <c r="Q145" s="1"/>
  <c r="N134"/>
  <c r="Q134" s="1"/>
  <c r="N137"/>
  <c r="Q137" s="1"/>
  <c r="K21" i="12"/>
  <c r="G21"/>
  <c r="L397" l="1"/>
  <c r="N397" s="1"/>
  <c r="L297" i="8"/>
  <c r="N297" s="1"/>
  <c r="L296"/>
  <c r="N296" s="1"/>
  <c r="L302"/>
  <c r="N302" s="1"/>
  <c r="L396" i="12"/>
  <c r="N396" s="1"/>
  <c r="L299" i="8"/>
  <c r="N299" s="1"/>
  <c r="L305"/>
  <c r="N305" s="1"/>
  <c r="L298"/>
  <c r="N298" s="1"/>
  <c r="L186" i="10"/>
  <c r="L29" i="12"/>
  <c r="N29" s="1"/>
  <c r="L413"/>
  <c r="N413" s="1"/>
  <c r="L411"/>
  <c r="N411" s="1"/>
  <c r="L187" i="10"/>
  <c r="N187"/>
  <c r="N186"/>
  <c r="L418" i="12"/>
  <c r="N418" s="1"/>
  <c r="L427"/>
  <c r="N427" s="1"/>
  <c r="L228" i="15"/>
  <c r="O228"/>
  <c r="L21" i="12"/>
  <c r="N21" s="1"/>
  <c r="N132" i="14"/>
  <c r="Q132" s="1"/>
  <c r="N129"/>
  <c r="Q129" s="1"/>
  <c r="K410" i="12"/>
  <c r="G410"/>
  <c r="K391"/>
  <c r="G391"/>
  <c r="K394"/>
  <c r="G394"/>
  <c r="G393"/>
  <c r="K393"/>
  <c r="K414"/>
  <c r="G414"/>
  <c r="G408"/>
  <c r="K412"/>
  <c r="K227" i="15"/>
  <c r="J227"/>
  <c r="K408" i="12"/>
  <c r="G412"/>
  <c r="N130" i="14"/>
  <c r="Q130" s="1"/>
  <c r="K390" i="12"/>
  <c r="G390"/>
  <c r="K183" i="10"/>
  <c r="G183"/>
  <c r="O227" i="15" l="1"/>
  <c r="L412" i="12"/>
  <c r="N412" s="1"/>
  <c r="L410"/>
  <c r="N410" s="1"/>
  <c r="L391"/>
  <c r="N391" s="1"/>
  <c r="L394"/>
  <c r="N394" s="1"/>
  <c r="L393"/>
  <c r="N393" s="1"/>
  <c r="L414"/>
  <c r="N414" s="1"/>
  <c r="L408"/>
  <c r="N408" s="1"/>
  <c r="L227" i="15"/>
  <c r="L390" i="12"/>
  <c r="N390" s="1"/>
  <c r="L183" i="10"/>
  <c r="N183"/>
  <c r="N126" i="14"/>
  <c r="Q126" s="1"/>
  <c r="K229" i="15"/>
  <c r="J229"/>
  <c r="K226"/>
  <c r="J226"/>
  <c r="O229" l="1"/>
  <c r="L226"/>
  <c r="O226"/>
  <c r="L229"/>
  <c r="N128" i="14"/>
  <c r="Q128" s="1"/>
  <c r="K384" i="12"/>
  <c r="G384"/>
  <c r="N136" i="13"/>
  <c r="Q136" s="1"/>
  <c r="K428" i="12"/>
  <c r="G428"/>
  <c r="N127" i="14"/>
  <c r="Q127" s="1"/>
  <c r="K222" i="15"/>
  <c r="J222"/>
  <c r="L384" i="12" l="1"/>
  <c r="N384" s="1"/>
  <c r="L222" i="15"/>
  <c r="L428" i="12"/>
  <c r="N428" s="1"/>
  <c r="O222" i="15"/>
  <c r="K22" i="12"/>
  <c r="G22"/>
  <c r="K400"/>
  <c r="G400"/>
  <c r="J223" i="15"/>
  <c r="J224"/>
  <c r="K225"/>
  <c r="J225"/>
  <c r="K224"/>
  <c r="G416" i="12"/>
  <c r="N125" i="14"/>
  <c r="Q125" s="1"/>
  <c r="K31" i="12"/>
  <c r="G31"/>
  <c r="K194" i="10"/>
  <c r="G194"/>
  <c r="K184"/>
  <c r="G184"/>
  <c r="K217" i="15"/>
  <c r="J217"/>
  <c r="K189" i="10"/>
  <c r="G189"/>
  <c r="J221" i="15"/>
  <c r="J204"/>
  <c r="J186"/>
  <c r="K223"/>
  <c r="N124" i="14"/>
  <c r="Q124" s="1"/>
  <c r="K219" i="15"/>
  <c r="J219"/>
  <c r="K220"/>
  <c r="J220"/>
  <c r="K218"/>
  <c r="J218"/>
  <c r="K221"/>
  <c r="N135" i="13"/>
  <c r="Q135" s="1"/>
  <c r="N123" i="14"/>
  <c r="Q123" s="1"/>
  <c r="K383" i="12"/>
  <c r="G383"/>
  <c r="O224" i="15" l="1"/>
  <c r="L225"/>
  <c r="L400" i="12"/>
  <c r="N400" s="1"/>
  <c r="L22"/>
  <c r="N22" s="1"/>
  <c r="L224" i="15"/>
  <c r="O225"/>
  <c r="L416" i="12"/>
  <c r="N416" s="1"/>
  <c r="L31"/>
  <c r="N31" s="1"/>
  <c r="N194" i="10"/>
  <c r="L194"/>
  <c r="L184"/>
  <c r="N184"/>
  <c r="O217" i="15"/>
  <c r="L217"/>
  <c r="L189" i="10"/>
  <c r="N189"/>
  <c r="L223" i="15"/>
  <c r="O221"/>
  <c r="O223"/>
  <c r="O220"/>
  <c r="L218"/>
  <c r="L219"/>
  <c r="O219"/>
  <c r="L221"/>
  <c r="L220"/>
  <c r="O218"/>
  <c r="L383" i="12"/>
  <c r="N383" s="1"/>
  <c r="K380"/>
  <c r="G380"/>
  <c r="N37" l="1"/>
  <c r="L380"/>
  <c r="N380" s="1"/>
  <c r="K387"/>
  <c r="G387"/>
  <c r="L387" l="1"/>
  <c r="N387" s="1"/>
  <c r="K294" i="8"/>
  <c r="G294"/>
  <c r="K180" i="10"/>
  <c r="G180"/>
  <c r="K216" i="15"/>
  <c r="J216"/>
  <c r="J214"/>
  <c r="K214"/>
  <c r="K215"/>
  <c r="J215"/>
  <c r="N122" i="14"/>
  <c r="Q122" s="1"/>
  <c r="K182" i="10"/>
  <c r="G182"/>
  <c r="J211" i="15"/>
  <c r="J212"/>
  <c r="J213"/>
  <c r="K211"/>
  <c r="K213"/>
  <c r="K212"/>
  <c r="K379" i="12"/>
  <c r="G379"/>
  <c r="N134" i="13"/>
  <c r="Q134" s="1"/>
  <c r="N133"/>
  <c r="Q133" s="1"/>
  <c r="K382" i="12"/>
  <c r="G382"/>
  <c r="K389"/>
  <c r="G389"/>
  <c r="K388"/>
  <c r="G388"/>
  <c r="K386"/>
  <c r="G386"/>
  <c r="K177" i="10"/>
  <c r="G177"/>
  <c r="K178"/>
  <c r="G178"/>
  <c r="K295" i="8"/>
  <c r="G295"/>
  <c r="K293"/>
  <c r="G293"/>
  <c r="N116" i="14"/>
  <c r="Q116" s="1"/>
  <c r="K210" i="15"/>
  <c r="J210"/>
  <c r="K209"/>
  <c r="J209"/>
  <c r="N119" i="14"/>
  <c r="Q119" s="1"/>
  <c r="N120"/>
  <c r="Q120" s="1"/>
  <c r="N121"/>
  <c r="Q121" s="1"/>
  <c r="N118"/>
  <c r="Q118" s="1"/>
  <c r="N117"/>
  <c r="Q117" s="1"/>
  <c r="K358" i="12"/>
  <c r="G358"/>
  <c r="K208" i="15"/>
  <c r="J208"/>
  <c r="K291" i="8"/>
  <c r="G291"/>
  <c r="K207" i="15"/>
  <c r="J207"/>
  <c r="N114" i="14"/>
  <c r="Q114" s="1"/>
  <c r="N113"/>
  <c r="Q113" s="1"/>
  <c r="N115"/>
  <c r="Q115" s="1"/>
  <c r="L379" i="12" l="1"/>
  <c r="N379" s="1"/>
  <c r="L214" i="15"/>
  <c r="L295" i="8"/>
  <c r="N295" s="1"/>
  <c r="L294"/>
  <c r="N294" s="1"/>
  <c r="L216" i="15"/>
  <c r="L180" i="10"/>
  <c r="N180"/>
  <c r="L215" i="15"/>
  <c r="O216"/>
  <c r="O214"/>
  <c r="O215"/>
  <c r="N177" i="10"/>
  <c r="L182"/>
  <c r="N182"/>
  <c r="L293" i="8"/>
  <c r="N293" s="1"/>
  <c r="L212" i="15"/>
  <c r="L211"/>
  <c r="O213"/>
  <c r="O211"/>
  <c r="L213"/>
  <c r="O212"/>
  <c r="L178" i="10"/>
  <c r="L386" i="12"/>
  <c r="N386" s="1"/>
  <c r="L388"/>
  <c r="N388" s="1"/>
  <c r="L389"/>
  <c r="N389" s="1"/>
  <c r="L382"/>
  <c r="N382" s="1"/>
  <c r="L177" i="10"/>
  <c r="N178"/>
  <c r="L210" i="15"/>
  <c r="L209"/>
  <c r="O210"/>
  <c r="O209"/>
  <c r="L207"/>
  <c r="O208"/>
  <c r="L358" i="12"/>
  <c r="N358" s="1"/>
  <c r="L208" i="15"/>
  <c r="L291" i="8"/>
  <c r="N291" s="1"/>
  <c r="O207" i="15"/>
  <c r="K206"/>
  <c r="J206"/>
  <c r="K204"/>
  <c r="K205"/>
  <c r="J205"/>
  <c r="K203"/>
  <c r="J203"/>
  <c r="K290" i="8"/>
  <c r="G290"/>
  <c r="K175" i="10"/>
  <c r="G175"/>
  <c r="K166"/>
  <c r="G166"/>
  <c r="K165"/>
  <c r="G165"/>
  <c r="K185"/>
  <c r="G185"/>
  <c r="K172"/>
  <c r="G172"/>
  <c r="K378" i="12"/>
  <c r="G378"/>
  <c r="K392"/>
  <c r="G392"/>
  <c r="K343"/>
  <c r="G343"/>
  <c r="K381"/>
  <c r="G381"/>
  <c r="K167" i="10"/>
  <c r="G167"/>
  <c r="K176"/>
  <c r="G176"/>
  <c r="K332" i="12"/>
  <c r="G332"/>
  <c r="K395"/>
  <c r="G395"/>
  <c r="K334"/>
  <c r="G334"/>
  <c r="K333"/>
  <c r="G333"/>
  <c r="K338"/>
  <c r="G338"/>
  <c r="K330"/>
  <c r="G330"/>
  <c r="N112" i="14"/>
  <c r="Q112" s="1"/>
  <c r="K346" i="12"/>
  <c r="G346"/>
  <c r="K341"/>
  <c r="G341"/>
  <c r="K10"/>
  <c r="G10"/>
  <c r="K200" i="15"/>
  <c r="J200"/>
  <c r="O205" l="1"/>
  <c r="L204"/>
  <c r="L206"/>
  <c r="O206"/>
  <c r="O204"/>
  <c r="L205"/>
  <c r="L203"/>
  <c r="O203"/>
  <c r="L10" i="12"/>
  <c r="N10" s="1"/>
  <c r="L290" i="8"/>
  <c r="N290" s="1"/>
  <c r="N165" i="10"/>
  <c r="L185"/>
  <c r="N185"/>
  <c r="N175"/>
  <c r="L175"/>
  <c r="L166"/>
  <c r="N166"/>
  <c r="L165"/>
  <c r="L172"/>
  <c r="N172"/>
  <c r="L167"/>
  <c r="N167"/>
  <c r="L343" i="12"/>
  <c r="N343" s="1"/>
  <c r="L334"/>
  <c r="N334" s="1"/>
  <c r="L381"/>
  <c r="N381" s="1"/>
  <c r="L378"/>
  <c r="N378" s="1"/>
  <c r="L392"/>
  <c r="N392" s="1"/>
  <c r="L176" i="10"/>
  <c r="N176"/>
  <c r="L333" i="12"/>
  <c r="N333" s="1"/>
  <c r="L332"/>
  <c r="N332" s="1"/>
  <c r="L395"/>
  <c r="N395" s="1"/>
  <c r="L338"/>
  <c r="N338" s="1"/>
  <c r="L330"/>
  <c r="N330" s="1"/>
  <c r="L346"/>
  <c r="N346" s="1"/>
  <c r="L341"/>
  <c r="N341" s="1"/>
  <c r="O200" i="15"/>
  <c r="L200"/>
  <c r="K202" l="1"/>
  <c r="J202"/>
  <c r="K199"/>
  <c r="J199"/>
  <c r="K201"/>
  <c r="J201"/>
  <c r="L199" l="1"/>
  <c r="O199"/>
  <c r="L201"/>
  <c r="L202"/>
  <c r="O201"/>
  <c r="O202"/>
  <c r="K342" i="12" l="1"/>
  <c r="G342"/>
  <c r="K367"/>
  <c r="G367"/>
  <c r="K371"/>
  <c r="G371"/>
  <c r="K347"/>
  <c r="G347"/>
  <c r="K357"/>
  <c r="G357"/>
  <c r="K350"/>
  <c r="G350"/>
  <c r="K292" i="8"/>
  <c r="G292"/>
  <c r="K198" i="15"/>
  <c r="J198"/>
  <c r="K197"/>
  <c r="J197"/>
  <c r="K288" i="8"/>
  <c r="G288"/>
  <c r="K181" i="10"/>
  <c r="G181"/>
  <c r="K316" i="12"/>
  <c r="G316"/>
  <c r="K373"/>
  <c r="G373"/>
  <c r="K340"/>
  <c r="G340"/>
  <c r="K370"/>
  <c r="G370"/>
  <c r="K315"/>
  <c r="G315"/>
  <c r="K196" i="15"/>
  <c r="J196"/>
  <c r="K173" i="10"/>
  <c r="G173"/>
  <c r="K161"/>
  <c r="G161"/>
  <c r="K289" i="8"/>
  <c r="G289"/>
  <c r="K353" i="12"/>
  <c r="G353"/>
  <c r="K327"/>
  <c r="G327"/>
  <c r="K365"/>
  <c r="G365"/>
  <c r="K311"/>
  <c r="G311"/>
  <c r="K319"/>
  <c r="G319"/>
  <c r="N110" i="14"/>
  <c r="Q110" s="1"/>
  <c r="J185" i="15"/>
  <c r="J182"/>
  <c r="J181"/>
  <c r="N111" i="14"/>
  <c r="Q111" s="1"/>
  <c r="K193" i="15"/>
  <c r="J193"/>
  <c r="K195"/>
  <c r="J195"/>
  <c r="K192"/>
  <c r="J192"/>
  <c r="K194"/>
  <c r="J194"/>
  <c r="K377" i="12"/>
  <c r="G377"/>
  <c r="K375"/>
  <c r="G375"/>
  <c r="K344"/>
  <c r="G344"/>
  <c r="K310"/>
  <c r="G310"/>
  <c r="K385"/>
  <c r="G385"/>
  <c r="K336"/>
  <c r="G336"/>
  <c r="K325"/>
  <c r="G325"/>
  <c r="K322"/>
  <c r="G322"/>
  <c r="K285" i="8"/>
  <c r="G285"/>
  <c r="N109" i="14"/>
  <c r="Q109" s="1"/>
  <c r="K158" i="10"/>
  <c r="G158"/>
  <c r="K287" i="8"/>
  <c r="G287"/>
  <c r="K317" i="12"/>
  <c r="G317"/>
  <c r="K331"/>
  <c r="G331"/>
  <c r="K314"/>
  <c r="G314"/>
  <c r="K329"/>
  <c r="G329"/>
  <c r="K363"/>
  <c r="G363"/>
  <c r="J187" i="15"/>
  <c r="K187"/>
  <c r="J191"/>
  <c r="K191"/>
  <c r="J188"/>
  <c r="K188"/>
  <c r="J190"/>
  <c r="K190"/>
  <c r="J189"/>
  <c r="K189"/>
  <c r="N132" i="13"/>
  <c r="Q132" s="1"/>
  <c r="N106" i="14"/>
  <c r="Q106" s="1"/>
  <c r="N105"/>
  <c r="Q105" s="1"/>
  <c r="K351" i="12"/>
  <c r="K355"/>
  <c r="G355"/>
  <c r="K313"/>
  <c r="G313"/>
  <c r="L292" i="8" l="1"/>
  <c r="N292" s="1"/>
  <c r="L347" i="12"/>
  <c r="N347" s="1"/>
  <c r="L350"/>
  <c r="N350" s="1"/>
  <c r="L367"/>
  <c r="N367" s="1"/>
  <c r="L371"/>
  <c r="N371" s="1"/>
  <c r="L357"/>
  <c r="N357" s="1"/>
  <c r="L342"/>
  <c r="N342" s="1"/>
  <c r="O197" i="15"/>
  <c r="O198"/>
  <c r="L198"/>
  <c r="L197"/>
  <c r="L288" i="8"/>
  <c r="N288" s="1"/>
  <c r="O196" i="15"/>
  <c r="L181" i="10"/>
  <c r="N181"/>
  <c r="L373" i="12"/>
  <c r="N373" s="1"/>
  <c r="L340"/>
  <c r="N340" s="1"/>
  <c r="L370"/>
  <c r="N370" s="1"/>
  <c r="L316"/>
  <c r="N316" s="1"/>
  <c r="L315"/>
  <c r="N315" s="1"/>
  <c r="L196" i="15"/>
  <c r="L173" i="10"/>
  <c r="L161"/>
  <c r="N173"/>
  <c r="N161"/>
  <c r="L375" i="12"/>
  <c r="N375" s="1"/>
  <c r="L289" i="8"/>
  <c r="N289" s="1"/>
  <c r="L327" i="12"/>
  <c r="N327" s="1"/>
  <c r="L353"/>
  <c r="N353" s="1"/>
  <c r="L365"/>
  <c r="N365" s="1"/>
  <c r="L311"/>
  <c r="N311" s="1"/>
  <c r="L319"/>
  <c r="N319" s="1"/>
  <c r="O188" i="15"/>
  <c r="L193"/>
  <c r="L189"/>
  <c r="O193"/>
  <c r="L192"/>
  <c r="L190"/>
  <c r="L187"/>
  <c r="O191"/>
  <c r="L195"/>
  <c r="L194"/>
  <c r="O194"/>
  <c r="O195"/>
  <c r="O192"/>
  <c r="L377" i="12"/>
  <c r="N377" s="1"/>
  <c r="L344"/>
  <c r="N344" s="1"/>
  <c r="L385"/>
  <c r="N385" s="1"/>
  <c r="L325"/>
  <c r="N325" s="1"/>
  <c r="L310"/>
  <c r="N310" s="1"/>
  <c r="L336"/>
  <c r="N336" s="1"/>
  <c r="L322"/>
  <c r="N322" s="1"/>
  <c r="L355"/>
  <c r="N355" s="1"/>
  <c r="L313"/>
  <c r="N313" s="1"/>
  <c r="L285" i="8"/>
  <c r="N285" s="1"/>
  <c r="O187" i="15"/>
  <c r="L191"/>
  <c r="O190"/>
  <c r="O189"/>
  <c r="L188"/>
  <c r="N158" i="10"/>
  <c r="L158"/>
  <c r="L287" i="8"/>
  <c r="N287" s="1"/>
  <c r="L317" i="12"/>
  <c r="N317" s="1"/>
  <c r="L329"/>
  <c r="N329" s="1"/>
  <c r="L363"/>
  <c r="N363" s="1"/>
  <c r="L331"/>
  <c r="N331" s="1"/>
  <c r="L314"/>
  <c r="N314" s="1"/>
  <c r="K337"/>
  <c r="G337"/>
  <c r="N184" i="15"/>
  <c r="K184" s="1"/>
  <c r="K186"/>
  <c r="O186" s="1"/>
  <c r="J184"/>
  <c r="J183"/>
  <c r="K183"/>
  <c r="K185"/>
  <c r="O185" s="1"/>
  <c r="N104" i="14"/>
  <c r="Q104" s="1"/>
  <c r="N108"/>
  <c r="Q108" s="1"/>
  <c r="Q19" s="1"/>
  <c r="N6" s="1"/>
  <c r="N103"/>
  <c r="Q103" s="1"/>
  <c r="K303" i="12"/>
  <c r="G303"/>
  <c r="K348"/>
  <c r="G348"/>
  <c r="K298"/>
  <c r="G298"/>
  <c r="K297"/>
  <c r="G297"/>
  <c r="K188" i="10"/>
  <c r="G188"/>
  <c r="K154"/>
  <c r="G154"/>
  <c r="K171"/>
  <c r="G171"/>
  <c r="K284" i="8"/>
  <c r="G284"/>
  <c r="G278"/>
  <c r="K276"/>
  <c r="G276"/>
  <c r="G280"/>
  <c r="K281"/>
  <c r="G281"/>
  <c r="K182" i="15"/>
  <c r="I30"/>
  <c r="N30"/>
  <c r="K30" s="1"/>
  <c r="J31"/>
  <c r="N31"/>
  <c r="K31" s="1"/>
  <c r="J32"/>
  <c r="K32"/>
  <c r="J33"/>
  <c r="K33"/>
  <c r="J34"/>
  <c r="N34"/>
  <c r="K34" s="1"/>
  <c r="J35"/>
  <c r="K35"/>
  <c r="J36"/>
  <c r="N36"/>
  <c r="K36" s="1"/>
  <c r="J37"/>
  <c r="K37"/>
  <c r="J38"/>
  <c r="K38"/>
  <c r="J39"/>
  <c r="N39"/>
  <c r="K39" s="1"/>
  <c r="J40"/>
  <c r="K40"/>
  <c r="J41"/>
  <c r="K41"/>
  <c r="J42"/>
  <c r="K42"/>
  <c r="J43"/>
  <c r="K43"/>
  <c r="J44"/>
  <c r="K44"/>
  <c r="J45"/>
  <c r="K45"/>
  <c r="J46"/>
  <c r="K46"/>
  <c r="J47"/>
  <c r="K47"/>
  <c r="J48"/>
  <c r="N48"/>
  <c r="K48" s="1"/>
  <c r="J49"/>
  <c r="N49"/>
  <c r="K49" s="1"/>
  <c r="J50"/>
  <c r="N50"/>
  <c r="K50" s="1"/>
  <c r="J51"/>
  <c r="K51"/>
  <c r="J52"/>
  <c r="N52"/>
  <c r="K52" s="1"/>
  <c r="J53"/>
  <c r="N53"/>
  <c r="K53" s="1"/>
  <c r="J54"/>
  <c r="K54"/>
  <c r="I55"/>
  <c r="N55"/>
  <c r="K55" s="1"/>
  <c r="J56"/>
  <c r="K56"/>
  <c r="J57"/>
  <c r="K57"/>
  <c r="J58"/>
  <c r="K58"/>
  <c r="J59"/>
  <c r="N59"/>
  <c r="K59" s="1"/>
  <c r="J60"/>
  <c r="N60"/>
  <c r="K60" s="1"/>
  <c r="J61"/>
  <c r="K61"/>
  <c r="J62"/>
  <c r="K62"/>
  <c r="J63"/>
  <c r="K63"/>
  <c r="J64"/>
  <c r="K64"/>
  <c r="J65"/>
  <c r="K65"/>
  <c r="J66"/>
  <c r="N66"/>
  <c r="K66" s="1"/>
  <c r="J67"/>
  <c r="K67"/>
  <c r="J68"/>
  <c r="N68"/>
  <c r="K68" s="1"/>
  <c r="J69"/>
  <c r="N69"/>
  <c r="K69" s="1"/>
  <c r="J70"/>
  <c r="K70"/>
  <c r="J71"/>
  <c r="N71"/>
  <c r="K71" s="1"/>
  <c r="J72"/>
  <c r="K72"/>
  <c r="J73"/>
  <c r="K73"/>
  <c r="J74"/>
  <c r="K74"/>
  <c r="J75"/>
  <c r="N75"/>
  <c r="K75" s="1"/>
  <c r="J76"/>
  <c r="K76"/>
  <c r="J77"/>
  <c r="K77"/>
  <c r="J78"/>
  <c r="N78"/>
  <c r="K78" s="1"/>
  <c r="J79"/>
  <c r="K79"/>
  <c r="J80"/>
  <c r="N80"/>
  <c r="K80" s="1"/>
  <c r="J81"/>
  <c r="K81"/>
  <c r="J82"/>
  <c r="K82"/>
  <c r="J83"/>
  <c r="N83"/>
  <c r="K83" s="1"/>
  <c r="J84"/>
  <c r="K84"/>
  <c r="J85"/>
  <c r="K85"/>
  <c r="J86"/>
  <c r="K86"/>
  <c r="J87"/>
  <c r="N87"/>
  <c r="K87" s="1"/>
  <c r="J88"/>
  <c r="K88"/>
  <c r="J89"/>
  <c r="K89"/>
  <c r="J90"/>
  <c r="N90"/>
  <c r="K90" s="1"/>
  <c r="J91"/>
  <c r="K91"/>
  <c r="J92"/>
  <c r="K92"/>
  <c r="J93"/>
  <c r="K93"/>
  <c r="J94"/>
  <c r="K94"/>
  <c r="J95"/>
  <c r="N95"/>
  <c r="K95" s="1"/>
  <c r="J96"/>
  <c r="K96"/>
  <c r="J97"/>
  <c r="K97"/>
  <c r="J98"/>
  <c r="N98"/>
  <c r="K98" s="1"/>
  <c r="J99"/>
  <c r="N99"/>
  <c r="K99" s="1"/>
  <c r="J100"/>
  <c r="K100"/>
  <c r="J101"/>
  <c r="K101"/>
  <c r="J102"/>
  <c r="K102"/>
  <c r="J103"/>
  <c r="N103"/>
  <c r="K103" s="1"/>
  <c r="J104"/>
  <c r="K104"/>
  <c r="J105"/>
  <c r="N105"/>
  <c r="K105" s="1"/>
  <c r="J106"/>
  <c r="N106"/>
  <c r="K106" s="1"/>
  <c r="J107"/>
  <c r="K107"/>
  <c r="J108"/>
  <c r="N108"/>
  <c r="K108" s="1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N118"/>
  <c r="K118" s="1"/>
  <c r="J119"/>
  <c r="K119"/>
  <c r="J120"/>
  <c r="N120"/>
  <c r="K120" s="1"/>
  <c r="J121"/>
  <c r="K121"/>
  <c r="J122"/>
  <c r="K122"/>
  <c r="J123"/>
  <c r="N123"/>
  <c r="K123" s="1"/>
  <c r="J124"/>
  <c r="K124"/>
  <c r="J125"/>
  <c r="K125"/>
  <c r="J126"/>
  <c r="K126"/>
  <c r="J127"/>
  <c r="K127"/>
  <c r="J128"/>
  <c r="K128"/>
  <c r="J129"/>
  <c r="K129"/>
  <c r="J130"/>
  <c r="N130"/>
  <c r="K130" s="1"/>
  <c r="J131"/>
  <c r="N131"/>
  <c r="K131" s="1"/>
  <c r="J132"/>
  <c r="N132"/>
  <c r="K132" s="1"/>
  <c r="J133"/>
  <c r="K133"/>
  <c r="J134"/>
  <c r="K134"/>
  <c r="J135"/>
  <c r="N135"/>
  <c r="K135" s="1"/>
  <c r="J136"/>
  <c r="K136"/>
  <c r="J137"/>
  <c r="N137"/>
  <c r="K137" s="1"/>
  <c r="J138"/>
  <c r="K138"/>
  <c r="J139"/>
  <c r="K139"/>
  <c r="J140"/>
  <c r="K140"/>
  <c r="J141"/>
  <c r="K141"/>
  <c r="J142"/>
  <c r="K142"/>
  <c r="J143"/>
  <c r="N143"/>
  <c r="K143" s="1"/>
  <c r="J144"/>
  <c r="N144"/>
  <c r="K144" s="1"/>
  <c r="J145"/>
  <c r="K145"/>
  <c r="J146"/>
  <c r="K146"/>
  <c r="J147"/>
  <c r="K147"/>
  <c r="J148"/>
  <c r="K148"/>
  <c r="J149"/>
  <c r="N149"/>
  <c r="K149" s="1"/>
  <c r="J150"/>
  <c r="N150"/>
  <c r="K150" s="1"/>
  <c r="J151"/>
  <c r="K151"/>
  <c r="J152"/>
  <c r="K152"/>
  <c r="J153"/>
  <c r="N153"/>
  <c r="K153" s="1"/>
  <c r="J154"/>
  <c r="K154"/>
  <c r="J155"/>
  <c r="K155"/>
  <c r="J156"/>
  <c r="K156"/>
  <c r="J157"/>
  <c r="K157"/>
  <c r="J158"/>
  <c r="K158"/>
  <c r="J159"/>
  <c r="K159"/>
  <c r="J160"/>
  <c r="N160"/>
  <c r="K160" s="1"/>
  <c r="J161"/>
  <c r="K161"/>
  <c r="J162"/>
  <c r="K162"/>
  <c r="J163"/>
  <c r="N163"/>
  <c r="K163" s="1"/>
  <c r="J164"/>
  <c r="K164"/>
  <c r="J165"/>
  <c r="K165"/>
  <c r="J166"/>
  <c r="K166"/>
  <c r="J167"/>
  <c r="N167"/>
  <c r="K167" s="1"/>
  <c r="J168"/>
  <c r="K168"/>
  <c r="J169"/>
  <c r="K169"/>
  <c r="J170"/>
  <c r="K170"/>
  <c r="J171"/>
  <c r="N171"/>
  <c r="K171" s="1"/>
  <c r="J172"/>
  <c r="N172"/>
  <c r="K172" s="1"/>
  <c r="J173"/>
  <c r="N173"/>
  <c r="K173" s="1"/>
  <c r="J174"/>
  <c r="N174"/>
  <c r="K174" s="1"/>
  <c r="J175"/>
  <c r="K175"/>
  <c r="J176"/>
  <c r="K176"/>
  <c r="J177"/>
  <c r="K177"/>
  <c r="J178"/>
  <c r="K178"/>
  <c r="J179"/>
  <c r="K179"/>
  <c r="J180"/>
  <c r="K180"/>
  <c r="K181"/>
  <c r="L181" s="1"/>
  <c r="N107" i="14"/>
  <c r="Q107" s="1"/>
  <c r="K302" i="12"/>
  <c r="G302"/>
  <c r="K300"/>
  <c r="G300"/>
  <c r="K349"/>
  <c r="G349"/>
  <c r="K335"/>
  <c r="G335"/>
  <c r="K299"/>
  <c r="G299"/>
  <c r="K324"/>
  <c r="G324"/>
  <c r="K164" i="10"/>
  <c r="G164"/>
  <c r="K159"/>
  <c r="G159"/>
  <c r="K274" i="8"/>
  <c r="G274"/>
  <c r="K279"/>
  <c r="G279"/>
  <c r="K286"/>
  <c r="G286"/>
  <c r="G283"/>
  <c r="K162" i="10"/>
  <c r="G162"/>
  <c r="K179"/>
  <c r="G179"/>
  <c r="K151"/>
  <c r="G151"/>
  <c r="K156"/>
  <c r="G156"/>
  <c r="K157"/>
  <c r="G157"/>
  <c r="K169"/>
  <c r="G169"/>
  <c r="K174"/>
  <c r="G174"/>
  <c r="K364" i="12"/>
  <c r="G364"/>
  <c r="K308"/>
  <c r="G308"/>
  <c r="K320"/>
  <c r="G320"/>
  <c r="K301"/>
  <c r="G301"/>
  <c r="K309"/>
  <c r="G309"/>
  <c r="K294"/>
  <c r="G294"/>
  <c r="K366"/>
  <c r="G366"/>
  <c r="K295"/>
  <c r="G295"/>
  <c r="K307"/>
  <c r="G307"/>
  <c r="K293"/>
  <c r="G293"/>
  <c r="G351"/>
  <c r="L351" s="1"/>
  <c r="N351" s="1"/>
  <c r="K345"/>
  <c r="G345"/>
  <c r="K321"/>
  <c r="G321"/>
  <c r="K277" i="8"/>
  <c r="G277"/>
  <c r="N102" i="14"/>
  <c r="Q102" s="1"/>
  <c r="N101"/>
  <c r="Q101" s="1"/>
  <c r="N100"/>
  <c r="Q100" s="1"/>
  <c r="N99"/>
  <c r="Q99" s="1"/>
  <c r="N129" i="13"/>
  <c r="Q129" s="1"/>
  <c r="K168" i="10"/>
  <c r="G168"/>
  <c r="K291" i="12"/>
  <c r="G291"/>
  <c r="K292"/>
  <c r="G292"/>
  <c r="K290"/>
  <c r="G290"/>
  <c r="N93" i="14"/>
  <c r="Q93" s="1"/>
  <c r="N92"/>
  <c r="Q92" s="1"/>
  <c r="N94"/>
  <c r="Q94" s="1"/>
  <c r="N96"/>
  <c r="Q96" s="1"/>
  <c r="N95"/>
  <c r="Q95" s="1"/>
  <c r="N98"/>
  <c r="Q98" s="1"/>
  <c r="N131" i="13"/>
  <c r="Q131" s="1"/>
  <c r="N130"/>
  <c r="Q130" s="1"/>
  <c r="K152" i="10"/>
  <c r="G152"/>
  <c r="N89" i="14"/>
  <c r="Q89" s="1"/>
  <c r="N91"/>
  <c r="Q91" s="1"/>
  <c r="N97"/>
  <c r="Q97" s="1"/>
  <c r="K362" i="12"/>
  <c r="K272" i="8"/>
  <c r="G272"/>
  <c r="K289" i="12"/>
  <c r="G289"/>
  <c r="K376"/>
  <c r="G376"/>
  <c r="K339"/>
  <c r="G339"/>
  <c r="K359"/>
  <c r="G359"/>
  <c r="K305"/>
  <c r="G305"/>
  <c r="K312"/>
  <c r="G312"/>
  <c r="K368"/>
  <c r="G368"/>
  <c r="K170" i="10"/>
  <c r="G170"/>
  <c r="K153"/>
  <c r="G153"/>
  <c r="N90" i="14"/>
  <c r="Q90" s="1"/>
  <c r="K163" i="10"/>
  <c r="G163"/>
  <c r="K147"/>
  <c r="G147"/>
  <c r="G362" i="12"/>
  <c r="K285"/>
  <c r="G285"/>
  <c r="K288"/>
  <c r="G288"/>
  <c r="K352"/>
  <c r="G352"/>
  <c r="K360"/>
  <c r="G360"/>
  <c r="K287"/>
  <c r="G287"/>
  <c r="K273" i="8"/>
  <c r="G273"/>
  <c r="K278"/>
  <c r="K282"/>
  <c r="G282"/>
  <c r="G275"/>
  <c r="N87" i="14"/>
  <c r="Q87" s="1"/>
  <c r="K146" i="10"/>
  <c r="G146"/>
  <c r="K160"/>
  <c r="G160"/>
  <c r="K323" i="12"/>
  <c r="G323"/>
  <c r="K326"/>
  <c r="G326"/>
  <c r="K354"/>
  <c r="G354"/>
  <c r="K280" i="8"/>
  <c r="N88" i="14"/>
  <c r="Q88" s="1"/>
  <c r="N84"/>
  <c r="Q84" s="1"/>
  <c r="N86"/>
  <c r="Q86" s="1"/>
  <c r="N83"/>
  <c r="Q83" s="1"/>
  <c r="N85"/>
  <c r="Q85" s="1"/>
  <c r="N128" i="13"/>
  <c r="Q128" s="1"/>
  <c r="N126"/>
  <c r="Q126" s="1"/>
  <c r="N127"/>
  <c r="Q127" s="1"/>
  <c r="N125"/>
  <c r="Q125" s="1"/>
  <c r="G145" i="10"/>
  <c r="K145"/>
  <c r="G304" i="12"/>
  <c r="K304"/>
  <c r="K282"/>
  <c r="G282"/>
  <c r="K279"/>
  <c r="G279"/>
  <c r="K277"/>
  <c r="G277"/>
  <c r="K271" i="8"/>
  <c r="G271"/>
  <c r="P44" i="13"/>
  <c r="K150" i="10"/>
  <c r="G150"/>
  <c r="K306" i="12"/>
  <c r="G306"/>
  <c r="K283"/>
  <c r="G283"/>
  <c r="E284"/>
  <c r="K284" s="1"/>
  <c r="F284"/>
  <c r="K283" i="8"/>
  <c r="K275"/>
  <c r="N81" i="14"/>
  <c r="Q81" s="1"/>
  <c r="N82"/>
  <c r="Q82" s="1"/>
  <c r="N80"/>
  <c r="Q80" s="1"/>
  <c r="K11" i="15"/>
  <c r="J11"/>
  <c r="K10"/>
  <c r="J10"/>
  <c r="Q65" i="14"/>
  <c r="N79"/>
  <c r="Q79" s="1"/>
  <c r="N78"/>
  <c r="Q78" s="1"/>
  <c r="N124" i="13"/>
  <c r="Q124" s="1"/>
  <c r="N74" i="14"/>
  <c r="Q74" s="1"/>
  <c r="N77"/>
  <c r="Q77" s="1"/>
  <c r="N70"/>
  <c r="Q70" s="1"/>
  <c r="N73"/>
  <c r="Q73" s="1"/>
  <c r="N72"/>
  <c r="Q72" s="1"/>
  <c r="N71"/>
  <c r="Q71" s="1"/>
  <c r="N76"/>
  <c r="Q76" s="1"/>
  <c r="N123" i="13"/>
  <c r="Q123" s="1"/>
  <c r="N66" i="14"/>
  <c r="Q66" s="1"/>
  <c r="N67"/>
  <c r="Q67" s="1"/>
  <c r="N68"/>
  <c r="Q68" s="1"/>
  <c r="N69"/>
  <c r="Q69" s="1"/>
  <c r="N75"/>
  <c r="Q75" s="1"/>
  <c r="N64"/>
  <c r="Q64" s="1"/>
  <c r="K155" i="10"/>
  <c r="G155"/>
  <c r="G144"/>
  <c r="G143"/>
  <c r="G142"/>
  <c r="G141"/>
  <c r="G140"/>
  <c r="K144"/>
  <c r="K143"/>
  <c r="K142"/>
  <c r="K141"/>
  <c r="K140"/>
  <c r="G268" i="8"/>
  <c r="G267"/>
  <c r="G266"/>
  <c r="G265"/>
  <c r="G264"/>
  <c r="G263"/>
  <c r="K268"/>
  <c r="K265"/>
  <c r="K267"/>
  <c r="K266"/>
  <c r="K264"/>
  <c r="K263"/>
  <c r="G270"/>
  <c r="K270"/>
  <c r="K269"/>
  <c r="G269"/>
  <c r="K272" i="12"/>
  <c r="K281"/>
  <c r="K273"/>
  <c r="K361"/>
  <c r="K274"/>
  <c r="K271"/>
  <c r="K296"/>
  <c r="K278"/>
  <c r="K275"/>
  <c r="K369"/>
  <c r="K286"/>
  <c r="K276"/>
  <c r="K374"/>
  <c r="K372"/>
  <c r="K280"/>
  <c r="K356"/>
  <c r="G272"/>
  <c r="G281"/>
  <c r="G273"/>
  <c r="G361"/>
  <c r="G274"/>
  <c r="G271"/>
  <c r="G296"/>
  <c r="G278"/>
  <c r="G275"/>
  <c r="G369"/>
  <c r="G286"/>
  <c r="G276"/>
  <c r="G374"/>
  <c r="G372"/>
  <c r="G280"/>
  <c r="G356"/>
  <c r="K268"/>
  <c r="K267"/>
  <c r="K262"/>
  <c r="K261"/>
  <c r="K270"/>
  <c r="K269"/>
  <c r="K266"/>
  <c r="K265"/>
  <c r="K264"/>
  <c r="K263"/>
  <c r="K260"/>
  <c r="K259"/>
  <c r="K258"/>
  <c r="K257"/>
  <c r="K256"/>
  <c r="K255"/>
  <c r="K254"/>
  <c r="K253"/>
  <c r="K252"/>
  <c r="K25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N117" i="13"/>
  <c r="Q117" s="1"/>
  <c r="N63" i="14"/>
  <c r="Q63" s="1"/>
  <c r="N60"/>
  <c r="Q60" s="1"/>
  <c r="N119" i="13"/>
  <c r="Q119" s="1"/>
  <c r="N120"/>
  <c r="Q120" s="1"/>
  <c r="N122"/>
  <c r="Q122" s="1"/>
  <c r="K139" i="10"/>
  <c r="G139"/>
  <c r="K149"/>
  <c r="G149"/>
  <c r="K138"/>
  <c r="G138"/>
  <c r="N61" i="14"/>
  <c r="Q61" s="1"/>
  <c r="N62"/>
  <c r="Q62" s="1"/>
  <c r="N59"/>
  <c r="Q59" s="1"/>
  <c r="K224" i="12"/>
  <c r="G224"/>
  <c r="K211"/>
  <c r="G211"/>
  <c r="N115" i="13"/>
  <c r="Q115" s="1"/>
  <c r="K210" i="12"/>
  <c r="G210"/>
  <c r="K248"/>
  <c r="G248"/>
  <c r="K205"/>
  <c r="K262" i="8"/>
  <c r="G262"/>
  <c r="K254"/>
  <c r="G254"/>
  <c r="L254" s="1"/>
  <c r="N254" s="1"/>
  <c r="K225" i="12"/>
  <c r="G225"/>
  <c r="K209"/>
  <c r="G209"/>
  <c r="K212"/>
  <c r="G212"/>
  <c r="K250"/>
  <c r="G250"/>
  <c r="K193"/>
  <c r="G193"/>
  <c r="K208"/>
  <c r="G208"/>
  <c r="K195"/>
  <c r="G195"/>
  <c r="K200"/>
  <c r="G200"/>
  <c r="N57" i="14"/>
  <c r="Q57" s="1"/>
  <c r="N58"/>
  <c r="Q58" s="1"/>
  <c r="N55"/>
  <c r="Q55" s="1"/>
  <c r="K249" i="12"/>
  <c r="G249"/>
  <c r="K201"/>
  <c r="G201"/>
  <c r="N54" i="14"/>
  <c r="Q54" s="1"/>
  <c r="K220" i="12"/>
  <c r="G220"/>
  <c r="K191"/>
  <c r="G191"/>
  <c r="K111" i="10"/>
  <c r="G111"/>
  <c r="N118" i="13"/>
  <c r="Q118" s="1"/>
  <c r="K257" i="8"/>
  <c r="G257"/>
  <c r="K120" i="10"/>
  <c r="G120"/>
  <c r="K226" i="12"/>
  <c r="G226"/>
  <c r="K196"/>
  <c r="G196"/>
  <c r="K247"/>
  <c r="G247"/>
  <c r="N56" i="14"/>
  <c r="Q56" s="1"/>
  <c r="K246" i="12"/>
  <c r="G246"/>
  <c r="K197"/>
  <c r="G197"/>
  <c r="K245"/>
  <c r="G245"/>
  <c r="K207"/>
  <c r="G207"/>
  <c r="K192"/>
  <c r="G192"/>
  <c r="K109" i="10"/>
  <c r="G109"/>
  <c r="K256" i="8"/>
  <c r="G256"/>
  <c r="K215" i="12"/>
  <c r="G215"/>
  <c r="K244"/>
  <c r="G244"/>
  <c r="K203"/>
  <c r="G203"/>
  <c r="K242"/>
  <c r="G242"/>
  <c r="K190"/>
  <c r="G190"/>
  <c r="K243"/>
  <c r="G243"/>
  <c r="K189"/>
  <c r="G189"/>
  <c r="K241"/>
  <c r="G241"/>
  <c r="K216"/>
  <c r="G216"/>
  <c r="K202"/>
  <c r="G202"/>
  <c r="K107" i="10"/>
  <c r="G107"/>
  <c r="K122"/>
  <c r="G122"/>
  <c r="K137"/>
  <c r="G137"/>
  <c r="K106"/>
  <c r="G106"/>
  <c r="K188" i="12"/>
  <c r="G188"/>
  <c r="K108" i="10"/>
  <c r="G108"/>
  <c r="K136"/>
  <c r="G136"/>
  <c r="N116" i="13"/>
  <c r="Q116" s="1"/>
  <c r="N48" i="14"/>
  <c r="Q48" s="1"/>
  <c r="N52"/>
  <c r="Q52" s="1"/>
  <c r="N49"/>
  <c r="Q49" s="1"/>
  <c r="K222" i="12"/>
  <c r="G222"/>
  <c r="K218"/>
  <c r="G218"/>
  <c r="K240"/>
  <c r="G240"/>
  <c r="K180"/>
  <c r="G180"/>
  <c r="K183"/>
  <c r="G183"/>
  <c r="K185"/>
  <c r="G185"/>
  <c r="K119" i="10"/>
  <c r="G119"/>
  <c r="K102"/>
  <c r="G102"/>
  <c r="K135"/>
  <c r="G135"/>
  <c r="N51" i="14"/>
  <c r="Q51" s="1"/>
  <c r="K247" i="8"/>
  <c r="G247"/>
  <c r="K239" i="12"/>
  <c r="G239"/>
  <c r="K181"/>
  <c r="G181"/>
  <c r="N47" i="14"/>
  <c r="Q47" s="1"/>
  <c r="N46"/>
  <c r="Q46" s="1"/>
  <c r="N45"/>
  <c r="Q45" s="1"/>
  <c r="G206" i="12"/>
  <c r="G205"/>
  <c r="K221"/>
  <c r="G221"/>
  <c r="K237"/>
  <c r="G237"/>
  <c r="K238"/>
  <c r="G238"/>
  <c r="K206"/>
  <c r="K110" i="10"/>
  <c r="G110"/>
  <c r="K249" i="8"/>
  <c r="G249"/>
  <c r="K245"/>
  <c r="G245"/>
  <c r="N112" i="13"/>
  <c r="Q112" s="1"/>
  <c r="K174" i="12"/>
  <c r="G174"/>
  <c r="K236"/>
  <c r="G236"/>
  <c r="K235"/>
  <c r="G235"/>
  <c r="K234"/>
  <c r="G234"/>
  <c r="K176"/>
  <c r="G176"/>
  <c r="K121" i="10"/>
  <c r="G121"/>
  <c r="K118"/>
  <c r="G118"/>
  <c r="K123"/>
  <c r="G123"/>
  <c r="K253" i="8"/>
  <c r="G253"/>
  <c r="N50" i="14"/>
  <c r="Q50" s="1"/>
  <c r="N40"/>
  <c r="Q40" s="1"/>
  <c r="K177" i="12"/>
  <c r="K228"/>
  <c r="K219"/>
  <c r="K182"/>
  <c r="K217"/>
  <c r="K187"/>
  <c r="K172"/>
  <c r="K213"/>
  <c r="K214"/>
  <c r="K227"/>
  <c r="K199"/>
  <c r="K178"/>
  <c r="K223"/>
  <c r="K229"/>
  <c r="K173"/>
  <c r="K194"/>
  <c r="K230"/>
  <c r="K204"/>
  <c r="K186"/>
  <c r="K231"/>
  <c r="K179"/>
  <c r="K198"/>
  <c r="K318"/>
  <c r="K232"/>
  <c r="K233"/>
  <c r="K184"/>
  <c r="K175"/>
  <c r="G177"/>
  <c r="G228"/>
  <c r="G219"/>
  <c r="G182"/>
  <c r="G217"/>
  <c r="G187"/>
  <c r="G213"/>
  <c r="G214"/>
  <c r="G227"/>
  <c r="G199"/>
  <c r="G178"/>
  <c r="G223"/>
  <c r="G229"/>
  <c r="G173"/>
  <c r="G194"/>
  <c r="G230"/>
  <c r="G204"/>
  <c r="G186"/>
  <c r="G231"/>
  <c r="G179"/>
  <c r="G198"/>
  <c r="G318"/>
  <c r="G232"/>
  <c r="G233"/>
  <c r="G184"/>
  <c r="G175"/>
  <c r="N53" i="14"/>
  <c r="Q53" s="1"/>
  <c r="N43"/>
  <c r="Q43" s="1"/>
  <c r="K101" i="10"/>
  <c r="G101"/>
  <c r="K11" i="8"/>
  <c r="K248"/>
  <c r="G248"/>
  <c r="N42" i="14"/>
  <c r="Q42" s="1"/>
  <c r="N41"/>
  <c r="Q41" s="1"/>
  <c r="K244" i="8"/>
  <c r="G244"/>
  <c r="N121" i="13"/>
  <c r="Q121" s="1"/>
  <c r="N113"/>
  <c r="Q113" s="1"/>
  <c r="N114"/>
  <c r="Q114" s="1"/>
  <c r="M46"/>
  <c r="N46" s="1"/>
  <c r="Q46" s="1"/>
  <c r="M47"/>
  <c r="K47"/>
  <c r="M48"/>
  <c r="N48" s="1"/>
  <c r="Q48" s="1"/>
  <c r="M53"/>
  <c r="N53" s="1"/>
  <c r="Q53" s="1"/>
  <c r="N31"/>
  <c r="Q31" s="1"/>
  <c r="N32"/>
  <c r="Q32" s="1"/>
  <c r="N33"/>
  <c r="Q33" s="1"/>
  <c r="N34"/>
  <c r="Q34" s="1"/>
  <c r="N35"/>
  <c r="Q35" s="1"/>
  <c r="N36"/>
  <c r="Q36" s="1"/>
  <c r="N37"/>
  <c r="Q37" s="1"/>
  <c r="N38"/>
  <c r="Q38" s="1"/>
  <c r="N39"/>
  <c r="Q39" s="1"/>
  <c r="K40"/>
  <c r="N40" s="1"/>
  <c r="Q40" s="1"/>
  <c r="N41"/>
  <c r="Q41" s="1"/>
  <c r="N42"/>
  <c r="Q42" s="1"/>
  <c r="N43"/>
  <c r="Q43" s="1"/>
  <c r="N44"/>
  <c r="N45"/>
  <c r="Q45" s="1"/>
  <c r="N49"/>
  <c r="Q49" s="1"/>
  <c r="K50"/>
  <c r="N50" s="1"/>
  <c r="Q50" s="1"/>
  <c r="N51"/>
  <c r="Q51" s="1"/>
  <c r="N52"/>
  <c r="Q52" s="1"/>
  <c r="N54"/>
  <c r="Q54" s="1"/>
  <c r="N55"/>
  <c r="Q55" s="1"/>
  <c r="N56"/>
  <c r="Q56" s="1"/>
  <c r="N57"/>
  <c r="Q57" s="1"/>
  <c r="N58"/>
  <c r="Q58" s="1"/>
  <c r="N59"/>
  <c r="Q59" s="1"/>
  <c r="K60"/>
  <c r="N60" s="1"/>
  <c r="Q60" s="1"/>
  <c r="N61"/>
  <c r="Q61" s="1"/>
  <c r="N62"/>
  <c r="Q62" s="1"/>
  <c r="N63"/>
  <c r="Q63" s="1"/>
  <c r="N64"/>
  <c r="Q64" s="1"/>
  <c r="N65"/>
  <c r="Q65" s="1"/>
  <c r="N66"/>
  <c r="Q66" s="1"/>
  <c r="N67"/>
  <c r="Q67" s="1"/>
  <c r="N68"/>
  <c r="Q68" s="1"/>
  <c r="K69"/>
  <c r="N69" s="1"/>
  <c r="Q69" s="1"/>
  <c r="N70"/>
  <c r="Q70" s="1"/>
  <c r="N71"/>
  <c r="Q71" s="1"/>
  <c r="N72"/>
  <c r="Q72" s="1"/>
  <c r="N73"/>
  <c r="Q73" s="1"/>
  <c r="N74"/>
  <c r="Q74" s="1"/>
  <c r="N75"/>
  <c r="Q75" s="1"/>
  <c r="N76"/>
  <c r="Q76" s="1"/>
  <c r="N77"/>
  <c r="Q77" s="1"/>
  <c r="N78"/>
  <c r="Q78" s="1"/>
  <c r="N79"/>
  <c r="Q79" s="1"/>
  <c r="N80"/>
  <c r="Q80" s="1"/>
  <c r="N81"/>
  <c r="Q81" s="1"/>
  <c r="N82"/>
  <c r="Q82" s="1"/>
  <c r="N83"/>
  <c r="Q83" s="1"/>
  <c r="N84"/>
  <c r="Q84" s="1"/>
  <c r="N85"/>
  <c r="Q85" s="1"/>
  <c r="N86"/>
  <c r="Q86" s="1"/>
  <c r="N87"/>
  <c r="Q87" s="1"/>
  <c r="N88"/>
  <c r="Q88" s="1"/>
  <c r="N89"/>
  <c r="Q89" s="1"/>
  <c r="N90"/>
  <c r="Q90" s="1"/>
  <c r="N91"/>
  <c r="Q91" s="1"/>
  <c r="N92"/>
  <c r="Q92" s="1"/>
  <c r="N93"/>
  <c r="Q93" s="1"/>
  <c r="N94"/>
  <c r="Q94" s="1"/>
  <c r="N95"/>
  <c r="Q95" s="1"/>
  <c r="N96"/>
  <c r="Q96" s="1"/>
  <c r="N97"/>
  <c r="Q97" s="1"/>
  <c r="N98"/>
  <c r="Q98" s="1"/>
  <c r="N99"/>
  <c r="Q99" s="1"/>
  <c r="N100"/>
  <c r="Q100" s="1"/>
  <c r="N101"/>
  <c r="Q101" s="1"/>
  <c r="N102"/>
  <c r="Q102" s="1"/>
  <c r="N103"/>
  <c r="Q103" s="1"/>
  <c r="N104"/>
  <c r="Q104" s="1"/>
  <c r="N105"/>
  <c r="Q105" s="1"/>
  <c r="N106"/>
  <c r="Q106" s="1"/>
  <c r="N107"/>
  <c r="Q107" s="1"/>
  <c r="N108"/>
  <c r="Q108" s="1"/>
  <c r="N109"/>
  <c r="Q109" s="1"/>
  <c r="N110"/>
  <c r="Q110" s="1"/>
  <c r="N111"/>
  <c r="Q111" s="1"/>
  <c r="K165" i="12"/>
  <c r="G165"/>
  <c r="K164"/>
  <c r="G164"/>
  <c r="K98" i="10"/>
  <c r="G98"/>
  <c r="K126"/>
  <c r="G126"/>
  <c r="K95"/>
  <c r="G95"/>
  <c r="K261" i="8"/>
  <c r="G261"/>
  <c r="K251"/>
  <c r="G251"/>
  <c r="G124" i="10"/>
  <c r="G114"/>
  <c r="G97"/>
  <c r="G113"/>
  <c r="G127"/>
  <c r="G112"/>
  <c r="G128"/>
  <c r="G103"/>
  <c r="G96"/>
  <c r="G148"/>
  <c r="G104"/>
  <c r="G129"/>
  <c r="G130"/>
  <c r="G100"/>
  <c r="G105"/>
  <c r="G131"/>
  <c r="G115"/>
  <c r="G125"/>
  <c r="G132"/>
  <c r="G116"/>
  <c r="G99"/>
  <c r="G133"/>
  <c r="G134"/>
  <c r="G117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K169" i="12"/>
  <c r="K170"/>
  <c r="K171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6"/>
  <c r="K167"/>
  <c r="K168"/>
  <c r="G171"/>
  <c r="G172"/>
  <c r="G170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6"/>
  <c r="G167"/>
  <c r="G168"/>
  <c r="K258" i="8"/>
  <c r="K250"/>
  <c r="K259"/>
  <c r="K260"/>
  <c r="K246"/>
  <c r="K252"/>
  <c r="K243"/>
  <c r="K241"/>
  <c r="K242"/>
  <c r="K255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G258"/>
  <c r="G250"/>
  <c r="G259"/>
  <c r="G260"/>
  <c r="G246"/>
  <c r="G252"/>
  <c r="G25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Q19" i="13"/>
  <c r="G122" i="8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11"/>
  <c r="K10"/>
  <c r="G10"/>
  <c r="K94" i="10"/>
  <c r="K117"/>
  <c r="N34" i="14"/>
  <c r="Q34" s="1"/>
  <c r="N39"/>
  <c r="Q39" s="1"/>
  <c r="N38"/>
  <c r="Q38" s="1"/>
  <c r="N33"/>
  <c r="Q33" s="1"/>
  <c r="N35"/>
  <c r="Q35" s="1"/>
  <c r="N37"/>
  <c r="Q37" s="1"/>
  <c r="N36"/>
  <c r="Q36" s="1"/>
  <c r="N31"/>
  <c r="Q31" s="1"/>
  <c r="N32"/>
  <c r="Q32" s="1"/>
  <c r="N44"/>
  <c r="Q44" s="1"/>
  <c r="G243" i="8"/>
  <c r="G241"/>
  <c r="G242"/>
  <c r="G169" i="12"/>
  <c r="N10" i="13"/>
  <c r="Q10" s="1"/>
  <c r="K27" i="10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6"/>
  <c r="K97"/>
  <c r="K99"/>
  <c r="K114"/>
  <c r="K113"/>
  <c r="K127"/>
  <c r="K112"/>
  <c r="K128"/>
  <c r="K103"/>
  <c r="K148"/>
  <c r="K104"/>
  <c r="K129"/>
  <c r="K130"/>
  <c r="K100"/>
  <c r="K105"/>
  <c r="K131"/>
  <c r="K115"/>
  <c r="K125"/>
  <c r="K132"/>
  <c r="K116"/>
  <c r="K133"/>
  <c r="K134"/>
  <c r="K124"/>
  <c r="G11"/>
  <c r="K11"/>
  <c r="K10"/>
  <c r="G10"/>
  <c r="G11" i="12"/>
  <c r="K11"/>
  <c r="K328"/>
  <c r="G328"/>
  <c r="N10" i="14"/>
  <c r="Q10" s="1"/>
  <c r="N11"/>
  <c r="Q11" s="1"/>
  <c r="N11" i="13"/>
  <c r="Q11" s="1"/>
  <c r="L296" i="12" l="1"/>
  <c r="N296" s="1"/>
  <c r="N47" i="13"/>
  <c r="Q47" s="1"/>
  <c r="L104" i="10"/>
  <c r="L132"/>
  <c r="L11" i="8"/>
  <c r="N11" s="1"/>
  <c r="L260"/>
  <c r="N260" s="1"/>
  <c r="L141"/>
  <c r="N141" s="1"/>
  <c r="L133"/>
  <c r="N133" s="1"/>
  <c r="L125"/>
  <c r="N125" s="1"/>
  <c r="Q44" i="13"/>
  <c r="L107" i="10"/>
  <c r="L109"/>
  <c r="L85"/>
  <c r="N77"/>
  <c r="N69"/>
  <c r="N53"/>
  <c r="N45"/>
  <c r="L37"/>
  <c r="L101"/>
  <c r="L76"/>
  <c r="L36"/>
  <c r="L136" i="15"/>
  <c r="O178"/>
  <c r="L166"/>
  <c r="L162"/>
  <c r="O158"/>
  <c r="O154"/>
  <c r="L146"/>
  <c r="O122"/>
  <c r="L114"/>
  <c r="O110"/>
  <c r="L98"/>
  <c r="L94"/>
  <c r="O86"/>
  <c r="L82"/>
  <c r="L70"/>
  <c r="L58"/>
  <c r="O46"/>
  <c r="L42"/>
  <c r="L38"/>
  <c r="L119" i="10"/>
  <c r="L137"/>
  <c r="N174"/>
  <c r="L151"/>
  <c r="L30"/>
  <c r="N54"/>
  <c r="N143"/>
  <c r="L62"/>
  <c r="L38"/>
  <c r="N122"/>
  <c r="N70"/>
  <c r="L46"/>
  <c r="N110"/>
  <c r="N149"/>
  <c r="N126"/>
  <c r="L122"/>
  <c r="L115"/>
  <c r="L96"/>
  <c r="L89"/>
  <c r="L49"/>
  <c r="N118"/>
  <c r="L120"/>
  <c r="N140"/>
  <c r="L164"/>
  <c r="N87"/>
  <c r="L79"/>
  <c r="L71"/>
  <c r="L63"/>
  <c r="L55"/>
  <c r="L47"/>
  <c r="N39"/>
  <c r="L31"/>
  <c r="L106"/>
  <c r="N171"/>
  <c r="L198" i="12"/>
  <c r="N198" s="1"/>
  <c r="N229"/>
  <c r="L236"/>
  <c r="N236" s="1"/>
  <c r="L253"/>
  <c r="N253" s="1"/>
  <c r="N116"/>
  <c r="N107"/>
  <c r="L172" i="8"/>
  <c r="N172" s="1"/>
  <c r="L164"/>
  <c r="N164" s="1"/>
  <c r="L156"/>
  <c r="N156" s="1"/>
  <c r="L148"/>
  <c r="N148" s="1"/>
  <c r="L140"/>
  <c r="N140" s="1"/>
  <c r="L132"/>
  <c r="N132" s="1"/>
  <c r="L124"/>
  <c r="N124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30"/>
  <c r="N30" s="1"/>
  <c r="L98"/>
  <c r="N9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237"/>
  <c r="N237" s="1"/>
  <c r="O176" i="15"/>
  <c r="L168"/>
  <c r="L164"/>
  <c r="L156"/>
  <c r="L152"/>
  <c r="O148"/>
  <c r="O144"/>
  <c r="O136"/>
  <c r="L128"/>
  <c r="O124"/>
  <c r="O120"/>
  <c r="L100"/>
  <c r="L96"/>
  <c r="L84"/>
  <c r="L72"/>
  <c r="L64"/>
  <c r="O48"/>
  <c r="L44"/>
  <c r="O40"/>
  <c r="L32"/>
  <c r="L157"/>
  <c r="O145"/>
  <c r="L77"/>
  <c r="Q175" i="14"/>
  <c r="N24" s="1"/>
  <c r="A4" s="1"/>
  <c r="C13" i="5" s="1"/>
  <c r="O11" i="15"/>
  <c r="O18" s="1"/>
  <c r="L6" s="1"/>
  <c r="L178"/>
  <c r="O177"/>
  <c r="L179"/>
  <c r="L155"/>
  <c r="L147"/>
  <c r="O139"/>
  <c r="O127"/>
  <c r="O115"/>
  <c r="L107"/>
  <c r="O91"/>
  <c r="L63"/>
  <c r="O59"/>
  <c r="O183"/>
  <c r="L176"/>
  <c r="L10" i="10"/>
  <c r="N97"/>
  <c r="L126"/>
  <c r="L123"/>
  <c r="N159"/>
  <c r="L150"/>
  <c r="L108"/>
  <c r="L118"/>
  <c r="L168"/>
  <c r="L155"/>
  <c r="L280" i="12"/>
  <c r="N280" s="1"/>
  <c r="N165"/>
  <c r="L243"/>
  <c r="N243" s="1"/>
  <c r="L237"/>
  <c r="N237" s="1"/>
  <c r="L183"/>
  <c r="N183" s="1"/>
  <c r="L222"/>
  <c r="N222" s="1"/>
  <c r="L295"/>
  <c r="N295" s="1"/>
  <c r="L208"/>
  <c r="N208" s="1"/>
  <c r="L276"/>
  <c r="N276" s="1"/>
  <c r="L259"/>
  <c r="N259" s="1"/>
  <c r="L275" i="8"/>
  <c r="N275" s="1"/>
  <c r="L246"/>
  <c r="N246" s="1"/>
  <c r="L117"/>
  <c r="N117" s="1"/>
  <c r="L109"/>
  <c r="N109" s="1"/>
  <c r="L93"/>
  <c r="N93" s="1"/>
  <c r="L85"/>
  <c r="N85" s="1"/>
  <c r="L69"/>
  <c r="N69" s="1"/>
  <c r="L61"/>
  <c r="N61" s="1"/>
  <c r="L53"/>
  <c r="N53" s="1"/>
  <c r="L45"/>
  <c r="N45" s="1"/>
  <c r="L37"/>
  <c r="N37" s="1"/>
  <c r="L29"/>
  <c r="N29" s="1"/>
  <c r="L73"/>
  <c r="N73" s="1"/>
  <c r="L41"/>
  <c r="N41" s="1"/>
  <c r="L10"/>
  <c r="N10" s="1"/>
  <c r="L280"/>
  <c r="N280" s="1"/>
  <c r="L259"/>
  <c r="N259" s="1"/>
  <c r="L263"/>
  <c r="N263" s="1"/>
  <c r="N18"/>
  <c r="L153"/>
  <c r="N153" s="1"/>
  <c r="L77"/>
  <c r="N77" s="1"/>
  <c r="L252"/>
  <c r="N252" s="1"/>
  <c r="L251"/>
  <c r="N251" s="1"/>
  <c r="L247"/>
  <c r="N247" s="1"/>
  <c r="L262"/>
  <c r="N262" s="1"/>
  <c r="L264"/>
  <c r="N264" s="1"/>
  <c r="L284"/>
  <c r="N284" s="1"/>
  <c r="L79" i="15"/>
  <c r="O173"/>
  <c r="O125"/>
  <c r="L113"/>
  <c r="L109"/>
  <c r="O105"/>
  <c r="O93"/>
  <c r="L85"/>
  <c r="L81"/>
  <c r="L73"/>
  <c r="L65"/>
  <c r="O61"/>
  <c r="L122"/>
  <c r="L167"/>
  <c r="L142"/>
  <c r="L75"/>
  <c r="L60"/>
  <c r="L56"/>
  <c r="O32"/>
  <c r="L154"/>
  <c r="L119"/>
  <c r="O99"/>
  <c r="L87"/>
  <c r="L68"/>
  <c r="O147"/>
  <c r="L116"/>
  <c r="O42"/>
  <c r="O128"/>
  <c r="O58"/>
  <c r="L161"/>
  <c r="O157"/>
  <c r="L153"/>
  <c r="L138"/>
  <c r="O134"/>
  <c r="O130"/>
  <c r="L126"/>
  <c r="L118"/>
  <c r="O106"/>
  <c r="O94"/>
  <c r="O82"/>
  <c r="O79"/>
  <c r="L67"/>
  <c r="O63"/>
  <c r="L37"/>
  <c r="L33"/>
  <c r="O182"/>
  <c r="O72"/>
  <c r="L57"/>
  <c r="L151"/>
  <c r="O39"/>
  <c r="L62"/>
  <c r="L175"/>
  <c r="L171"/>
  <c r="O156"/>
  <c r="L129"/>
  <c r="O101"/>
  <c r="O89"/>
  <c r="L51"/>
  <c r="O47"/>
  <c r="L127"/>
  <c r="L76"/>
  <c r="L69"/>
  <c r="L140"/>
  <c r="L54"/>
  <c r="L35"/>
  <c r="L185"/>
  <c r="O70"/>
  <c r="L123"/>
  <c r="O123"/>
  <c r="O135"/>
  <c r="L135"/>
  <c r="O137"/>
  <c r="L101"/>
  <c r="L40"/>
  <c r="O169"/>
  <c r="O140"/>
  <c r="O116"/>
  <c r="L59"/>
  <c r="L139"/>
  <c r="L11"/>
  <c r="L170"/>
  <c r="O162"/>
  <c r="O159"/>
  <c r="L141"/>
  <c r="L120"/>
  <c r="L117"/>
  <c r="O113"/>
  <c r="O102"/>
  <c r="O88"/>
  <c r="O84"/>
  <c r="O77"/>
  <c r="O74"/>
  <c r="O67"/>
  <c r="O60"/>
  <c r="L41"/>
  <c r="O37"/>
  <c r="L134"/>
  <c r="L47"/>
  <c r="O181"/>
  <c r="O152"/>
  <c r="O49"/>
  <c r="L89"/>
  <c r="L10"/>
  <c r="O175"/>
  <c r="L149"/>
  <c r="O146"/>
  <c r="O142"/>
  <c r="O121"/>
  <c r="O118"/>
  <c r="O96"/>
  <c r="L92"/>
  <c r="L78"/>
  <c r="O64"/>
  <c r="O57"/>
  <c r="L45"/>
  <c r="L110"/>
  <c r="L137"/>
  <c r="L177"/>
  <c r="O179"/>
  <c r="O164"/>
  <c r="L111"/>
  <c r="L83"/>
  <c r="O65"/>
  <c r="L50"/>
  <c r="L36"/>
  <c r="L91"/>
  <c r="L148"/>
  <c r="L180"/>
  <c r="O165"/>
  <c r="O151"/>
  <c r="O133"/>
  <c r="O119"/>
  <c r="O112"/>
  <c r="L104"/>
  <c r="L97"/>
  <c r="O90"/>
  <c r="O76"/>
  <c r="O69"/>
  <c r="O62"/>
  <c r="O43"/>
  <c r="L182"/>
  <c r="L348" i="12"/>
  <c r="N348" s="1"/>
  <c r="N100"/>
  <c r="L59"/>
  <c r="N166"/>
  <c r="L60"/>
  <c r="L279"/>
  <c r="N279" s="1"/>
  <c r="L285"/>
  <c r="N285" s="1"/>
  <c r="L337"/>
  <c r="N337" s="1"/>
  <c r="L78"/>
  <c r="L286"/>
  <c r="N286" s="1"/>
  <c r="N60"/>
  <c r="L161"/>
  <c r="L153"/>
  <c r="L145"/>
  <c r="L137"/>
  <c r="L129"/>
  <c r="L57"/>
  <c r="N49"/>
  <c r="L217"/>
  <c r="L269"/>
  <c r="N269" s="1"/>
  <c r="L11"/>
  <c r="N11" s="1"/>
  <c r="L189"/>
  <c r="N189" s="1"/>
  <c r="L203"/>
  <c r="N203" s="1"/>
  <c r="L197"/>
  <c r="N197" s="1"/>
  <c r="L268"/>
  <c r="N268" s="1"/>
  <c r="L266"/>
  <c r="N266" s="1"/>
  <c r="L277"/>
  <c r="N277" s="1"/>
  <c r="L354"/>
  <c r="N354" s="1"/>
  <c r="L339"/>
  <c r="N339" s="1"/>
  <c r="L335"/>
  <c r="N335" s="1"/>
  <c r="L298"/>
  <c r="N298" s="1"/>
  <c r="L206"/>
  <c r="N206" s="1"/>
  <c r="L160"/>
  <c r="L152"/>
  <c r="L144"/>
  <c r="L136"/>
  <c r="L128"/>
  <c r="L120"/>
  <c r="N96"/>
  <c r="L88"/>
  <c r="N80"/>
  <c r="N72"/>
  <c r="N64"/>
  <c r="L176"/>
  <c r="N176" s="1"/>
  <c r="L174"/>
  <c r="N174" s="1"/>
  <c r="L247"/>
  <c r="N247" s="1"/>
  <c r="L193"/>
  <c r="N193" s="1"/>
  <c r="L292"/>
  <c r="N292" s="1"/>
  <c r="L299"/>
  <c r="N299" s="1"/>
  <c r="L302"/>
  <c r="N302" s="1"/>
  <c r="L303"/>
  <c r="N303" s="1"/>
  <c r="L248"/>
  <c r="N248" s="1"/>
  <c r="N66"/>
  <c r="L214"/>
  <c r="L275"/>
  <c r="N275" s="1"/>
  <c r="L169"/>
  <c r="N155"/>
  <c r="N139"/>
  <c r="N123"/>
  <c r="N91"/>
  <c r="L83"/>
  <c r="L75"/>
  <c r="N67"/>
  <c r="N54"/>
  <c r="L232"/>
  <c r="N232" s="1"/>
  <c r="L194"/>
  <c r="N194" s="1"/>
  <c r="L257"/>
  <c r="N257" s="1"/>
  <c r="L300"/>
  <c r="N300" s="1"/>
  <c r="L166"/>
  <c r="N156"/>
  <c r="N148"/>
  <c r="N140"/>
  <c r="N132"/>
  <c r="N124"/>
  <c r="L108"/>
  <c r="L100"/>
  <c r="N92"/>
  <c r="L84"/>
  <c r="L76"/>
  <c r="N68"/>
  <c r="L52"/>
  <c r="L117"/>
  <c r="N177"/>
  <c r="N168"/>
  <c r="L118"/>
  <c r="L110"/>
  <c r="L70"/>
  <c r="L62"/>
  <c r="L227"/>
  <c r="N228"/>
  <c r="L210"/>
  <c r="N210" s="1"/>
  <c r="L254"/>
  <c r="N254" s="1"/>
  <c r="L258"/>
  <c r="N258" s="1"/>
  <c r="L54"/>
  <c r="L95"/>
  <c r="L87"/>
  <c r="N79"/>
  <c r="N71"/>
  <c r="N63"/>
  <c r="L175"/>
  <c r="N175" s="1"/>
  <c r="L186"/>
  <c r="N186" s="1"/>
  <c r="N199"/>
  <c r="L216"/>
  <c r="N216" s="1"/>
  <c r="N217"/>
  <c r="L178"/>
  <c r="L228"/>
  <c r="L179"/>
  <c r="N179" s="1"/>
  <c r="N223"/>
  <c r="N161"/>
  <c r="N153"/>
  <c r="N145"/>
  <c r="N137"/>
  <c r="N129"/>
  <c r="N121"/>
  <c r="L113"/>
  <c r="N105"/>
  <c r="L73"/>
  <c r="L65"/>
  <c r="N57"/>
  <c r="L49"/>
  <c r="L360"/>
  <c r="N360" s="1"/>
  <c r="L188"/>
  <c r="N188" s="1"/>
  <c r="L273"/>
  <c r="N273" s="1"/>
  <c r="L205"/>
  <c r="N205" s="1"/>
  <c r="L282"/>
  <c r="N282" s="1"/>
  <c r="L204"/>
  <c r="N204" s="1"/>
  <c r="N227"/>
  <c r="L231"/>
  <c r="N231" s="1"/>
  <c r="L262"/>
  <c r="N262" s="1"/>
  <c r="L270"/>
  <c r="N270" s="1"/>
  <c r="L287"/>
  <c r="N287" s="1"/>
  <c r="L68"/>
  <c r="L241"/>
  <c r="N241" s="1"/>
  <c r="L242"/>
  <c r="N242" s="1"/>
  <c r="L245"/>
  <c r="N245" s="1"/>
  <c r="L196"/>
  <c r="N196" s="1"/>
  <c r="L201"/>
  <c r="N201" s="1"/>
  <c r="L372"/>
  <c r="N372" s="1"/>
  <c r="L288"/>
  <c r="N288" s="1"/>
  <c r="L362"/>
  <c r="N362" s="1"/>
  <c r="L244"/>
  <c r="N244" s="1"/>
  <c r="N159"/>
  <c r="N143"/>
  <c r="N127"/>
  <c r="N103"/>
  <c r="N87"/>
  <c r="L71"/>
  <c r="N47"/>
  <c r="L154"/>
  <c r="N130"/>
  <c r="L114"/>
  <c r="N98"/>
  <c r="L82"/>
  <c r="L66"/>
  <c r="L219"/>
  <c r="N160"/>
  <c r="N152"/>
  <c r="N144"/>
  <c r="N136"/>
  <c r="N128"/>
  <c r="N120"/>
  <c r="L112"/>
  <c r="L104"/>
  <c r="N88"/>
  <c r="L80"/>
  <c r="L72"/>
  <c r="L64"/>
  <c r="L56"/>
  <c r="L48"/>
  <c r="N163"/>
  <c r="L155"/>
  <c r="L147"/>
  <c r="N131"/>
  <c r="L123"/>
  <c r="N115"/>
  <c r="L107"/>
  <c r="N99"/>
  <c r="L91"/>
  <c r="N83"/>
  <c r="N75"/>
  <c r="L67"/>
  <c r="N59"/>
  <c r="N182"/>
  <c r="L173"/>
  <c r="N173" s="1"/>
  <c r="N172"/>
  <c r="L185"/>
  <c r="N185" s="1"/>
  <c r="L218"/>
  <c r="N218" s="1"/>
  <c r="L215"/>
  <c r="N215" s="1"/>
  <c r="L225"/>
  <c r="N225" s="1"/>
  <c r="L255"/>
  <c r="N255" s="1"/>
  <c r="L297"/>
  <c r="N297" s="1"/>
  <c r="L192"/>
  <c r="N192" s="1"/>
  <c r="G284"/>
  <c r="L284" s="1"/>
  <c r="N284" s="1"/>
  <c r="L234"/>
  <c r="N234" s="1"/>
  <c r="N151"/>
  <c r="N135"/>
  <c r="N119"/>
  <c r="N111"/>
  <c r="L79"/>
  <c r="L63"/>
  <c r="L55"/>
  <c r="L162"/>
  <c r="L146"/>
  <c r="N122"/>
  <c r="L106"/>
  <c r="L90"/>
  <c r="L74"/>
  <c r="N58"/>
  <c r="L187"/>
  <c r="L260"/>
  <c r="N260" s="1"/>
  <c r="L256"/>
  <c r="N256" s="1"/>
  <c r="L96"/>
  <c r="L148"/>
  <c r="L132"/>
  <c r="L124"/>
  <c r="L116"/>
  <c r="L92"/>
  <c r="N84"/>
  <c r="N76"/>
  <c r="N169"/>
  <c r="L238"/>
  <c r="N238" s="1"/>
  <c r="L240"/>
  <c r="N240" s="1"/>
  <c r="L209"/>
  <c r="N209" s="1"/>
  <c r="L305"/>
  <c r="N305" s="1"/>
  <c r="L289"/>
  <c r="N289" s="1"/>
  <c r="L290"/>
  <c r="N290" s="1"/>
  <c r="L366"/>
  <c r="N366" s="1"/>
  <c r="L320"/>
  <c r="N320" s="1"/>
  <c r="N74"/>
  <c r="L159"/>
  <c r="L151"/>
  <c r="L131"/>
  <c r="L156"/>
  <c r="N104"/>
  <c r="N56"/>
  <c r="L226"/>
  <c r="N226" s="1"/>
  <c r="L249"/>
  <c r="N249" s="1"/>
  <c r="L195"/>
  <c r="N195" s="1"/>
  <c r="L212"/>
  <c r="N212" s="1"/>
  <c r="L211"/>
  <c r="N211" s="1"/>
  <c r="L252"/>
  <c r="N252" s="1"/>
  <c r="L172"/>
  <c r="L105"/>
  <c r="L328"/>
  <c r="N328" s="1"/>
  <c r="N90"/>
  <c r="L121"/>
  <c r="N97"/>
  <c r="N89"/>
  <c r="N81"/>
  <c r="N73"/>
  <c r="N65"/>
  <c r="L200"/>
  <c r="N200" s="1"/>
  <c r="L250"/>
  <c r="N250" s="1"/>
  <c r="L263"/>
  <c r="N263" s="1"/>
  <c r="L251"/>
  <c r="N251" s="1"/>
  <c r="L261"/>
  <c r="N261" s="1"/>
  <c r="L293"/>
  <c r="N293" s="1"/>
  <c r="L294"/>
  <c r="N294" s="1"/>
  <c r="N112"/>
  <c r="N82"/>
  <c r="L223"/>
  <c r="L115"/>
  <c r="N113"/>
  <c r="N138"/>
  <c r="N106"/>
  <c r="N50"/>
  <c r="N167"/>
  <c r="N157"/>
  <c r="N149"/>
  <c r="L141"/>
  <c r="N133"/>
  <c r="N125"/>
  <c r="N117"/>
  <c r="N109"/>
  <c r="N101"/>
  <c r="N93"/>
  <c r="N85"/>
  <c r="N77"/>
  <c r="N69"/>
  <c r="N61"/>
  <c r="N53"/>
  <c r="L170"/>
  <c r="N170" s="1"/>
  <c r="L164"/>
  <c r="N187"/>
  <c r="L233"/>
  <c r="N233" s="1"/>
  <c r="L230"/>
  <c r="N230" s="1"/>
  <c r="N214"/>
  <c r="L177"/>
  <c r="L235"/>
  <c r="N235" s="1"/>
  <c r="L239"/>
  <c r="N239" s="1"/>
  <c r="L190"/>
  <c r="N190" s="1"/>
  <c r="L207"/>
  <c r="N207" s="1"/>
  <c r="L220"/>
  <c r="N220" s="1"/>
  <c r="L267"/>
  <c r="N267" s="1"/>
  <c r="L265"/>
  <c r="N265" s="1"/>
  <c r="L356"/>
  <c r="N356" s="1"/>
  <c r="L278"/>
  <c r="N278" s="1"/>
  <c r="L272"/>
  <c r="N272" s="1"/>
  <c r="L283"/>
  <c r="N283" s="1"/>
  <c r="L301"/>
  <c r="N301" s="1"/>
  <c r="L274"/>
  <c r="N274" s="1"/>
  <c r="L140"/>
  <c r="N108"/>
  <c r="N52"/>
  <c r="L180"/>
  <c r="N180" s="1"/>
  <c r="L271"/>
  <c r="N271" s="1"/>
  <c r="L199"/>
  <c r="N95"/>
  <c r="N147"/>
  <c r="L163"/>
  <c r="L139"/>
  <c r="L99"/>
  <c r="L51"/>
  <c r="N158"/>
  <c r="N150"/>
  <c r="L142"/>
  <c r="N134"/>
  <c r="N126"/>
  <c r="N118"/>
  <c r="N110"/>
  <c r="L102"/>
  <c r="N94"/>
  <c r="N86"/>
  <c r="N78"/>
  <c r="N70"/>
  <c r="N62"/>
  <c r="L171"/>
  <c r="L213"/>
  <c r="L184"/>
  <c r="N184" s="1"/>
  <c r="L221"/>
  <c r="N221" s="1"/>
  <c r="L181"/>
  <c r="N181" s="1"/>
  <c r="L202"/>
  <c r="N202" s="1"/>
  <c r="L246"/>
  <c r="N246" s="1"/>
  <c r="L191"/>
  <c r="N191" s="1"/>
  <c r="L224"/>
  <c r="N224" s="1"/>
  <c r="L264"/>
  <c r="N264" s="1"/>
  <c r="L281"/>
  <c r="N281" s="1"/>
  <c r="L323"/>
  <c r="N323" s="1"/>
  <c r="L291"/>
  <c r="N291" s="1"/>
  <c r="L307"/>
  <c r="N307" s="1"/>
  <c r="L309"/>
  <c r="N309" s="1"/>
  <c r="L364"/>
  <c r="N364" s="1"/>
  <c r="L167"/>
  <c r="L101"/>
  <c r="L157"/>
  <c r="L149"/>
  <c r="L138"/>
  <c r="L50"/>
  <c r="N164"/>
  <c r="L229"/>
  <c r="L47"/>
  <c r="L158"/>
  <c r="L150"/>
  <c r="L165"/>
  <c r="L109"/>
  <c r="N213"/>
  <c r="N171"/>
  <c r="N55"/>
  <c r="L318"/>
  <c r="N318" s="1"/>
  <c r="L77"/>
  <c r="L69"/>
  <c r="L61"/>
  <c r="L97"/>
  <c r="L89"/>
  <c r="L81"/>
  <c r="L130"/>
  <c r="L122"/>
  <c r="L119"/>
  <c r="N162"/>
  <c r="N154"/>
  <c r="N146"/>
  <c r="N114"/>
  <c r="N48"/>
  <c r="L352"/>
  <c r="N352" s="1"/>
  <c r="L308"/>
  <c r="N308" s="1"/>
  <c r="L304"/>
  <c r="N304" s="1"/>
  <c r="L168"/>
  <c r="L182"/>
  <c r="L133"/>
  <c r="L125"/>
  <c r="N178"/>
  <c r="N219"/>
  <c r="N141"/>
  <c r="N51"/>
  <c r="L98"/>
  <c r="L369"/>
  <c r="N369" s="1"/>
  <c r="L368"/>
  <c r="N368" s="1"/>
  <c r="L53"/>
  <c r="L93"/>
  <c r="L85"/>
  <c r="L134"/>
  <c r="L126"/>
  <c r="L143"/>
  <c r="L103"/>
  <c r="N142"/>
  <c r="N102"/>
  <c r="L361"/>
  <c r="N361" s="1"/>
  <c r="L306"/>
  <c r="N306" s="1"/>
  <c r="L326"/>
  <c r="N326" s="1"/>
  <c r="L58"/>
  <c r="L94"/>
  <c r="L86"/>
  <c r="L135"/>
  <c r="L127"/>
  <c r="L111"/>
  <c r="L321"/>
  <c r="N321" s="1"/>
  <c r="L349"/>
  <c r="N349" s="1"/>
  <c r="L359"/>
  <c r="N359" s="1"/>
  <c r="L233" i="8"/>
  <c r="N233" s="1"/>
  <c r="L202"/>
  <c r="N202" s="1"/>
  <c r="L162"/>
  <c r="N162" s="1"/>
  <c r="L99"/>
  <c r="N99" s="1"/>
  <c r="L255"/>
  <c r="N255" s="1"/>
  <c r="L79"/>
  <c r="N79" s="1"/>
  <c r="L238"/>
  <c r="N238" s="1"/>
  <c r="L68"/>
  <c r="N68" s="1"/>
  <c r="L36"/>
  <c r="N36" s="1"/>
  <c r="L28"/>
  <c r="N28" s="1"/>
  <c r="L176"/>
  <c r="N176" s="1"/>
  <c r="L152"/>
  <c r="N152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56"/>
  <c r="N56" s="1"/>
  <c r="L48"/>
  <c r="N48" s="1"/>
  <c r="L40"/>
  <c r="N40" s="1"/>
  <c r="L32"/>
  <c r="N32" s="1"/>
  <c r="L248"/>
  <c r="N248" s="1"/>
  <c r="L253"/>
  <c r="N253" s="1"/>
  <c r="L245"/>
  <c r="N245" s="1"/>
  <c r="L193"/>
  <c r="N193" s="1"/>
  <c r="L194"/>
  <c r="N194" s="1"/>
  <c r="L170"/>
  <c r="N170" s="1"/>
  <c r="L242"/>
  <c r="N242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23"/>
  <c r="N123" s="1"/>
  <c r="L138"/>
  <c r="N138" s="1"/>
  <c r="L121"/>
  <c r="N121" s="1"/>
  <c r="L65"/>
  <c r="N65" s="1"/>
  <c r="L205"/>
  <c r="N205" s="1"/>
  <c r="L173"/>
  <c r="N173" s="1"/>
  <c r="L101"/>
  <c r="N101" s="1"/>
  <c r="L201"/>
  <c r="N201" s="1"/>
  <c r="L137"/>
  <c r="N137" s="1"/>
  <c r="L130"/>
  <c r="N130" s="1"/>
  <c r="L269"/>
  <c r="N269" s="1"/>
  <c r="L266"/>
  <c r="N266" s="1"/>
  <c r="L199"/>
  <c r="N199" s="1"/>
  <c r="L265"/>
  <c r="N265" s="1"/>
  <c r="L231"/>
  <c r="N231" s="1"/>
  <c r="L200"/>
  <c r="N200" s="1"/>
  <c r="L169"/>
  <c r="N169" s="1"/>
  <c r="L161"/>
  <c r="N161" s="1"/>
  <c r="L249"/>
  <c r="N249" s="1"/>
  <c r="L256"/>
  <c r="N256" s="1"/>
  <c r="L270"/>
  <c r="N270" s="1"/>
  <c r="L272"/>
  <c r="N272" s="1"/>
  <c r="L277"/>
  <c r="N277" s="1"/>
  <c r="L208"/>
  <c r="N208" s="1"/>
  <c r="L217"/>
  <c r="N217" s="1"/>
  <c r="L105"/>
  <c r="N105" s="1"/>
  <c r="L81"/>
  <c r="N81" s="1"/>
  <c r="L49"/>
  <c r="N49" s="1"/>
  <c r="L33"/>
  <c r="N33" s="1"/>
  <c r="L271"/>
  <c r="N271" s="1"/>
  <c r="L204"/>
  <c r="N204" s="1"/>
  <c r="L196"/>
  <c r="N196" s="1"/>
  <c r="L188"/>
  <c r="N188" s="1"/>
  <c r="L180"/>
  <c r="N180" s="1"/>
  <c r="L165"/>
  <c r="N165" s="1"/>
  <c r="L157"/>
  <c r="N157" s="1"/>
  <c r="L149"/>
  <c r="N149" s="1"/>
  <c r="L178"/>
  <c r="N178" s="1"/>
  <c r="L154"/>
  <c r="N154" s="1"/>
  <c r="L146"/>
  <c r="N146" s="1"/>
  <c r="L114"/>
  <c r="N114" s="1"/>
  <c r="L106"/>
  <c r="N106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268"/>
  <c r="N268" s="1"/>
  <c r="L216"/>
  <c r="N216" s="1"/>
  <c r="L209"/>
  <c r="N209" s="1"/>
  <c r="L177"/>
  <c r="N177" s="1"/>
  <c r="L113"/>
  <c r="N113" s="1"/>
  <c r="L97"/>
  <c r="N97" s="1"/>
  <c r="L89"/>
  <c r="N89" s="1"/>
  <c r="L57"/>
  <c r="N57" s="1"/>
  <c r="L236"/>
  <c r="N236" s="1"/>
  <c r="L228"/>
  <c r="N228" s="1"/>
  <c r="L220"/>
  <c r="N220" s="1"/>
  <c r="L212"/>
  <c r="N212" s="1"/>
  <c r="L197"/>
  <c r="N197" s="1"/>
  <c r="L189"/>
  <c r="N189" s="1"/>
  <c r="L181"/>
  <c r="N181" s="1"/>
  <c r="L135"/>
  <c r="N135" s="1"/>
  <c r="L276"/>
  <c r="N276" s="1"/>
  <c r="L224"/>
  <c r="N224" s="1"/>
  <c r="L257"/>
  <c r="N257" s="1"/>
  <c r="L229"/>
  <c r="N229" s="1"/>
  <c r="L221"/>
  <c r="N221" s="1"/>
  <c r="L213"/>
  <c r="N213" s="1"/>
  <c r="L167"/>
  <c r="N167" s="1"/>
  <c r="L136"/>
  <c r="N136" s="1"/>
  <c r="L261"/>
  <c r="N261" s="1"/>
  <c r="L244"/>
  <c r="N244" s="1"/>
  <c r="L286"/>
  <c r="N286" s="1"/>
  <c r="O172" i="15"/>
  <c r="L172"/>
  <c r="L143"/>
  <c r="O143"/>
  <c r="L108"/>
  <c r="O108"/>
  <c r="O80"/>
  <c r="L80"/>
  <c r="L66"/>
  <c r="O66"/>
  <c r="O95"/>
  <c r="O34"/>
  <c r="L160"/>
  <c r="O160"/>
  <c r="L150"/>
  <c r="O150"/>
  <c r="L174"/>
  <c r="O174"/>
  <c r="L131"/>
  <c r="O131"/>
  <c r="L52"/>
  <c r="O52"/>
  <c r="O163"/>
  <c r="O149"/>
  <c r="O78"/>
  <c r="O184"/>
  <c r="L184"/>
  <c r="O171"/>
  <c r="O153"/>
  <c r="L132"/>
  <c r="L103"/>
  <c r="L71"/>
  <c r="O53"/>
  <c r="O31"/>
  <c r="L48"/>
  <c r="O167"/>
  <c r="O97"/>
  <c r="O92"/>
  <c r="O87"/>
  <c r="O75"/>
  <c r="O68"/>
  <c r="O54"/>
  <c r="O45"/>
  <c r="L158"/>
  <c r="O170"/>
  <c r="O155"/>
  <c r="O138"/>
  <c r="O85"/>
  <c r="O73"/>
  <c r="O117"/>
  <c r="O109"/>
  <c r="J55"/>
  <c r="O55" s="1"/>
  <c r="O38"/>
  <c r="L53"/>
  <c r="L74"/>
  <c r="L115"/>
  <c r="O168"/>
  <c r="O107"/>
  <c r="O100"/>
  <c r="O83"/>
  <c r="L144"/>
  <c r="L112"/>
  <c r="L99"/>
  <c r="L86"/>
  <c r="L90"/>
  <c r="L95"/>
  <c r="L105"/>
  <c r="L125"/>
  <c r="L34"/>
  <c r="L121"/>
  <c r="L159"/>
  <c r="L169"/>
  <c r="L173"/>
  <c r="O166"/>
  <c r="O161"/>
  <c r="O98"/>
  <c r="O81"/>
  <c r="O41"/>
  <c r="O36"/>
  <c r="J30"/>
  <c r="O30" s="1"/>
  <c r="L183"/>
  <c r="L186"/>
  <c r="L61"/>
  <c r="O111"/>
  <c r="O104"/>
  <c r="O56"/>
  <c r="O35"/>
  <c r="L106"/>
  <c r="L163"/>
  <c r="O129"/>
  <c r="O114"/>
  <c r="O33"/>
  <c r="L124"/>
  <c r="L133"/>
  <c r="O141"/>
  <c r="O50"/>
  <c r="L46"/>
  <c r="L130"/>
  <c r="L102"/>
  <c r="O10"/>
  <c r="L43"/>
  <c r="L88"/>
  <c r="L31"/>
  <c r="O132"/>
  <c r="O103"/>
  <c r="O51"/>
  <c r="O44"/>
  <c r="O126"/>
  <c r="L165"/>
  <c r="L93"/>
  <c r="O180"/>
  <c r="O71"/>
  <c r="L39"/>
  <c r="L49"/>
  <c r="N123" i="10"/>
  <c r="N141"/>
  <c r="N133"/>
  <c r="N112"/>
  <c r="N119"/>
  <c r="N136"/>
  <c r="N169"/>
  <c r="N179"/>
  <c r="L146"/>
  <c r="L41"/>
  <c r="L94"/>
  <c r="N78"/>
  <c r="L102"/>
  <c r="N145"/>
  <c r="N170"/>
  <c r="L159"/>
  <c r="N103"/>
  <c r="N160"/>
  <c r="N90"/>
  <c r="N82"/>
  <c r="L74"/>
  <c r="N58"/>
  <c r="L50"/>
  <c r="N42"/>
  <c r="N10"/>
  <c r="N129"/>
  <c r="N152"/>
  <c r="L133"/>
  <c r="L145"/>
  <c r="N153"/>
  <c r="L169"/>
  <c r="L70"/>
  <c r="N134"/>
  <c r="N127"/>
  <c r="N94"/>
  <c r="L91"/>
  <c r="N67"/>
  <c r="L35"/>
  <c r="L27"/>
  <c r="L136"/>
  <c r="N155"/>
  <c r="L147"/>
  <c r="N188"/>
  <c r="L32"/>
  <c r="N132"/>
  <c r="N130"/>
  <c r="L87"/>
  <c r="N28"/>
  <c r="L114"/>
  <c r="L99"/>
  <c r="N101"/>
  <c r="L80"/>
  <c r="L40"/>
  <c r="N116"/>
  <c r="N113"/>
  <c r="L129"/>
  <c r="L11"/>
  <c r="N131"/>
  <c r="L128"/>
  <c r="N95"/>
  <c r="L135"/>
  <c r="L139"/>
  <c r="L141"/>
  <c r="L157"/>
  <c r="L162"/>
  <c r="N6" i="13"/>
  <c r="L170" i="10"/>
  <c r="L179"/>
  <c r="L163"/>
  <c r="L282" i="8"/>
  <c r="N282" s="1"/>
  <c r="L279"/>
  <c r="N279" s="1"/>
  <c r="L281"/>
  <c r="N281" s="1"/>
  <c r="L168"/>
  <c r="N168" s="1"/>
  <c r="L239"/>
  <c r="N239" s="1"/>
  <c r="L129"/>
  <c r="N129" s="1"/>
  <c r="L258"/>
  <c r="N258" s="1"/>
  <c r="L223"/>
  <c r="N223" s="1"/>
  <c r="L191"/>
  <c r="N191" s="1"/>
  <c r="L218"/>
  <c r="N218" s="1"/>
  <c r="L192"/>
  <c r="N192" s="1"/>
  <c r="L186"/>
  <c r="N186" s="1"/>
  <c r="L160"/>
  <c r="N160" s="1"/>
  <c r="L122"/>
  <c r="N122" s="1"/>
  <c r="L267"/>
  <c r="N267" s="1"/>
  <c r="L232"/>
  <c r="N232" s="1"/>
  <c r="L144"/>
  <c r="N144" s="1"/>
  <c r="L226"/>
  <c r="N226" s="1"/>
  <c r="L215"/>
  <c r="N215" s="1"/>
  <c r="L183"/>
  <c r="N183" s="1"/>
  <c r="L151"/>
  <c r="N151" s="1"/>
  <c r="L145"/>
  <c r="N145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50"/>
  <c r="N250" s="1"/>
  <c r="L273"/>
  <c r="N273" s="1"/>
  <c r="L243"/>
  <c r="N243" s="1"/>
  <c r="L175"/>
  <c r="N175" s="1"/>
  <c r="L143"/>
  <c r="N143" s="1"/>
  <c r="L240"/>
  <c r="N240" s="1"/>
  <c r="L234"/>
  <c r="N234" s="1"/>
  <c r="L210"/>
  <c r="N210" s="1"/>
  <c r="L184"/>
  <c r="N184" s="1"/>
  <c r="L64"/>
  <c r="N6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274"/>
  <c r="N274" s="1"/>
  <c r="L207"/>
  <c r="N207" s="1"/>
  <c r="L225"/>
  <c r="N225" s="1"/>
  <c r="L241"/>
  <c r="N241" s="1"/>
  <c r="L185"/>
  <c r="N185" s="1"/>
  <c r="L159"/>
  <c r="N159" s="1"/>
  <c r="L127"/>
  <c r="N127" s="1"/>
  <c r="L283"/>
  <c r="N283" s="1"/>
  <c r="L278"/>
  <c r="N278" s="1"/>
  <c r="L376" i="12"/>
  <c r="N376" s="1"/>
  <c r="L374"/>
  <c r="N374" s="1"/>
  <c r="L345"/>
  <c r="N345" s="1"/>
  <c r="L312"/>
  <c r="N312" s="1"/>
  <c r="L324"/>
  <c r="N324" s="1"/>
  <c r="N100" i="10"/>
  <c r="N91"/>
  <c r="N83"/>
  <c r="L75"/>
  <c r="L67"/>
  <c r="L59"/>
  <c r="N51"/>
  <c r="N43"/>
  <c r="N35"/>
  <c r="N27"/>
  <c r="L143"/>
  <c r="L174"/>
  <c r="N151"/>
  <c r="N11"/>
  <c r="N124"/>
  <c r="L105"/>
  <c r="L112"/>
  <c r="N92"/>
  <c r="L84"/>
  <c r="N76"/>
  <c r="N68"/>
  <c r="L60"/>
  <c r="N52"/>
  <c r="L44"/>
  <c r="N36"/>
  <c r="L90"/>
  <c r="N66"/>
  <c r="L58"/>
  <c r="N50"/>
  <c r="L42"/>
  <c r="L34"/>
  <c r="N117"/>
  <c r="L103"/>
  <c r="L98"/>
  <c r="L121"/>
  <c r="N137"/>
  <c r="N106"/>
  <c r="L160"/>
  <c r="N156"/>
  <c r="N164"/>
  <c r="L154"/>
  <c r="N74"/>
  <c r="N139"/>
  <c r="N46"/>
  <c r="N62"/>
  <c r="L125"/>
  <c r="N148"/>
  <c r="L93"/>
  <c r="N85"/>
  <c r="L77"/>
  <c r="L69"/>
  <c r="L61"/>
  <c r="L53"/>
  <c r="L29"/>
  <c r="L110"/>
  <c r="N135"/>
  <c r="L130"/>
  <c r="N115"/>
  <c r="N147"/>
  <c r="N38"/>
  <c r="L88"/>
  <c r="N80"/>
  <c r="L72"/>
  <c r="N64"/>
  <c r="N56"/>
  <c r="L48"/>
  <c r="N40"/>
  <c r="N32"/>
  <c r="L86"/>
  <c r="L78"/>
  <c r="L54"/>
  <c r="N30"/>
  <c r="N120"/>
  <c r="L142"/>
  <c r="N163"/>
  <c r="N96"/>
  <c r="N111"/>
  <c r="L82"/>
  <c r="L127"/>
  <c r="L113"/>
  <c r="N114"/>
  <c r="N89"/>
  <c r="N81"/>
  <c r="L73"/>
  <c r="L65"/>
  <c r="L57"/>
  <c r="N49"/>
  <c r="N41"/>
  <c r="L33"/>
  <c r="N102"/>
  <c r="N108"/>
  <c r="L138"/>
  <c r="L144"/>
  <c r="N146"/>
  <c r="L153"/>
  <c r="N162"/>
  <c r="L39"/>
  <c r="N125"/>
  <c r="N71"/>
  <c r="N59"/>
  <c r="N47"/>
  <c r="L148"/>
  <c r="N109"/>
  <c r="N150"/>
  <c r="L152"/>
  <c r="L28"/>
  <c r="L52"/>
  <c r="N105"/>
  <c r="N99"/>
  <c r="N84"/>
  <c r="N72"/>
  <c r="N60"/>
  <c r="N48"/>
  <c r="N107"/>
  <c r="L140"/>
  <c r="N142"/>
  <c r="L156"/>
  <c r="L171"/>
  <c r="L188"/>
  <c r="L100"/>
  <c r="N34"/>
  <c r="L117"/>
  <c r="L51"/>
  <c r="L68"/>
  <c r="N98"/>
  <c r="N138"/>
  <c r="N157"/>
  <c r="L81"/>
  <c r="L45"/>
  <c r="L116"/>
  <c r="L92"/>
  <c r="L56"/>
  <c r="L124"/>
  <c r="L134"/>
  <c r="L66"/>
  <c r="L131"/>
  <c r="N128"/>
  <c r="N93"/>
  <c r="N73"/>
  <c r="N65"/>
  <c r="N61"/>
  <c r="N57"/>
  <c r="N37"/>
  <c r="N33"/>
  <c r="N29"/>
  <c r="L95"/>
  <c r="N79"/>
  <c r="N63"/>
  <c r="L149"/>
  <c r="N31"/>
  <c r="N104"/>
  <c r="L43"/>
  <c r="L97"/>
  <c r="L64"/>
  <c r="N121"/>
  <c r="N168"/>
  <c r="N154"/>
  <c r="L83"/>
  <c r="N75"/>
  <c r="N55"/>
  <c r="L111"/>
  <c r="N144"/>
  <c r="N88"/>
  <c r="N44"/>
  <c r="N86"/>
  <c r="Q153" i="13" l="1"/>
  <c r="N24" s="1"/>
  <c r="A4" s="1"/>
  <c r="C5" i="5" s="1"/>
  <c r="L55" i="15"/>
  <c r="N435" i="12"/>
  <c r="K42" s="1"/>
  <c r="N316" i="8"/>
  <c r="K23" s="1"/>
  <c r="O239" i="15"/>
  <c r="L30"/>
  <c r="N205" i="10"/>
  <c r="K22" s="1"/>
  <c r="K6" i="8"/>
  <c r="K6" i="12"/>
  <c r="N17" i="10"/>
  <c r="K6" s="1"/>
  <c r="A4" i="12" l="1"/>
  <c r="C9" i="5" s="1"/>
  <c r="A4" i="8"/>
  <c r="C7" i="5" s="1"/>
  <c r="L23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<sst xmlns="http://schemas.openxmlformats.org/spreadsheetml/2006/main" count="5290" uniqueCount="1787">
  <si>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</si>
  <si>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</si>
  <si>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</si>
  <si>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</si>
  <si>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</si>
  <si>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</si>
  <si>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</si>
  <si>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</si>
  <si>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</si>
  <si>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</si>
  <si>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</si>
  <si>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</si>
  <si>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</si>
  <si>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</si>
  <si>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</si>
  <si>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</si>
  <si>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</si>
  <si>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</si>
  <si>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</si>
  <si>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</si>
  <si>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</si>
  <si>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</si>
  <si>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</si>
  <si>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</si>
  <si>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</si>
  <si>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</si>
  <si>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</si>
  <si>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</si>
  <si>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</si>
  <si>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</si>
  <si>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</si>
  <si>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</si>
  <si>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</si>
  <si>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</si>
  <si>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</si>
  <si>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</si>
  <si>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</si>
  <si>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</si>
  <si>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</si>
  <si>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</si>
  <si>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</si>
  <si>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</si>
  <si>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</si>
  <si>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</si>
  <si>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</si>
  <si>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</si>
  <si>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</si>
  <si>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</si>
  <si>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</si>
  <si>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</si>
  <si>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</si>
  <si>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</si>
  <si>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</si>
  <si>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</si>
  <si>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</si>
  <si>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</si>
  <si>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</si>
  <si>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</si>
  <si>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</si>
  <si>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</si>
  <si>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</si>
  <si>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</si>
  <si>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</si>
  <si>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</si>
  <si>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</si>
  <si>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</si>
  <si>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</si>
  <si>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</si>
  <si>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</si>
  <si>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</si>
  <si>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</si>
  <si>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</si>
  <si>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</si>
  <si>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</si>
  <si>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</si>
  <si>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</si>
  <si>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</si>
  <si>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</si>
  <si>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</si>
  <si>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</si>
  <si>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</si>
  <si>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</si>
  <si>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</si>
  <si>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</si>
  <si>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</si>
  <si>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</si>
  <si>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</si>
  <si>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</si>
  <si>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</si>
  <si>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</si>
  <si>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</si>
  <si>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</si>
  <si>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</si>
  <si>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</si>
  <si>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</si>
  <si>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</si>
  <si>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</si>
  <si>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</si>
  <si>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</si>
  <si>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</si>
  <si>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</si>
  <si>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</si>
  <si>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</si>
  <si>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</si>
  <si>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</si>
  <si>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</si>
  <si>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</si>
  <si>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</si>
  <si>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</si>
  <si>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</si>
  <si>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</si>
  <si>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</si>
  <si>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</si>
  <si>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</si>
  <si>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</si>
  <si>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</si>
  <si>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</si>
  <si>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</si>
  <si>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</si>
  <si>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</si>
  <si>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</si>
  <si>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</si>
  <si>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</si>
  <si>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</si>
  <si>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</si>
  <si>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</si>
  <si>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</si>
  <si>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</si>
  <si>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</si>
  <si>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</si>
  <si>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</si>
  <si>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</si>
  <si>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</si>
  <si>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</si>
  <si>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</si>
  <si>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</si>
  <si>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</si>
  <si>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</si>
  <si>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</si>
  <si>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</si>
  <si>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</si>
  <si>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</si>
  <si>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</si>
  <si>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</si>
  <si>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</si>
  <si>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</si>
  <si>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</si>
  <si>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</si>
  <si>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</si>
  <si>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</si>
  <si>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</si>
  <si>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</si>
  <si>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</si>
  <si>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</si>
  <si>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</si>
  <si>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</si>
  <si>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</si>
  <si>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</si>
  <si>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</si>
  <si>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</si>
  <si>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</si>
  <si>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</si>
  <si>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</si>
  <si>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</si>
  <si>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</si>
  <si>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</si>
  <si>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</si>
  <si>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</si>
  <si>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</si>
  <si>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</si>
  <si>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</si>
  <si>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</si>
  <si>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</si>
  <si>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</si>
  <si>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</si>
  <si>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</si>
  <si>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</si>
  <si>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</si>
  <si>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</si>
  <si>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</si>
  <si>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</si>
  <si>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</si>
  <si>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</si>
  <si>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</si>
  <si>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</si>
  <si>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</si>
  <si>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</si>
  <si>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</si>
  <si>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</si>
  <si>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</si>
  <si>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</si>
  <si>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</si>
  <si>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</si>
  <si>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</si>
  <si>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</si>
  <si>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</si>
  <si>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</si>
  <si>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</si>
  <si>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</si>
  <si>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</si>
  <si>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</si>
  <si>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</si>
  <si>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</si>
  <si>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</si>
  <si>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</si>
  <si>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</si>
  <si>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</si>
  <si>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</si>
  <si>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</si>
  <si>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</si>
  <si>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</si>
  <si>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</si>
  <si>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</si>
  <si>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</si>
  <si>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</si>
  <si>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</si>
  <si>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</si>
  <si>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</si>
  <si>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</si>
  <si>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</si>
  <si>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</si>
  <si>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</si>
  <si>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</si>
  <si>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</si>
  <si>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</si>
  <si>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</si>
  <si>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</si>
  <si>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</si>
  <si>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</si>
  <si>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</si>
  <si>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</si>
  <si>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</si>
  <si>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</si>
  <si>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</si>
  <si>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</si>
  <si>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</si>
  <si>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</si>
  <si>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</si>
  <si>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</si>
  <si>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</si>
  <si>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</si>
  <si>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</si>
  <si>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</si>
  <si>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</si>
  <si>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</si>
  <si>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</si>
  <si>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</si>
  <si>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</si>
  <si>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</si>
  <si>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</si>
  <si>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</si>
  <si>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</si>
  <si>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</si>
  <si>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</si>
  <si>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</si>
  <si>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</si>
  <si>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</si>
  <si>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</si>
  <si>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</si>
  <si>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</si>
  <si>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</si>
  <si>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</si>
  <si>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</si>
  <si>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</si>
  <si>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</si>
  <si>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</si>
  <si>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</si>
  <si>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</si>
  <si>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</si>
  <si>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</si>
  <si>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</si>
  <si>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</si>
  <si>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</si>
  <si>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</si>
  <si>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</si>
  <si>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</si>
  <si>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</si>
  <si>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</si>
  <si>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</si>
  <si>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</si>
  <si>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</si>
  <si>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</si>
  <si>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</si>
  <si>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</si>
  <si>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</si>
  <si>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</si>
  <si>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</si>
  <si>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</si>
  <si>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</si>
  <si>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</si>
  <si>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</si>
  <si>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</si>
  <si>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</si>
  <si>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</si>
  <si>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</si>
  <si>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</si>
  <si>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</si>
  <si>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</si>
  <si>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</si>
  <si>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</si>
  <si>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</si>
  <si>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</si>
  <si>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</si>
  <si>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</si>
  <si>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</si>
  <si>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</si>
  <si>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</si>
  <si>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</si>
  <si>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</si>
  <si>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</si>
  <si>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</si>
  <si>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</si>
  <si>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</si>
  <si>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</si>
  <si>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</si>
  <si>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</si>
  <si>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</si>
  <si>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</si>
  <si>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</si>
  <si>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</si>
  <si>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</si>
  <si>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</si>
  <si>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</si>
  <si>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</si>
  <si>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</si>
  <si>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</si>
  <si>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</si>
  <si>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</si>
  <si>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</si>
  <si>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</si>
  <si>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</si>
  <si>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</si>
  <si>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</si>
  <si>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</si>
  <si>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</si>
  <si>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</si>
  <si>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</si>
  <si>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</si>
  <si>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</si>
  <si>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</si>
  <si>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</si>
  <si>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</si>
  <si>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</si>
  <si>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</si>
  <si>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</si>
  <si>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</si>
  <si>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</si>
  <si>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</si>
  <si>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</si>
  <si>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</si>
  <si>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</si>
  <si>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</si>
  <si>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</si>
  <si>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</si>
  <si>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</si>
  <si>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</si>
  <si>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</si>
  <si>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</si>
  <si>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</si>
  <si>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</si>
  <si>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</si>
  <si>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</si>
  <si>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</si>
  <si>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</si>
  <si>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</si>
  <si>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</si>
  <si>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</si>
  <si>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</si>
  <si>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</si>
  <si>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</si>
  <si>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</si>
  <si>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</si>
  <si>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</si>
  <si>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</si>
  <si>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</si>
  <si>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</si>
  <si>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</si>
  <si>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</si>
  <si>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</si>
  <si>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</si>
  <si>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</si>
  <si>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</si>
  <si>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</si>
  <si>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</si>
  <si>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</si>
  <si>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</si>
  <si>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</si>
  <si>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</si>
  <si>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</si>
  <si>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</si>
  <si>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</si>
  <si>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</si>
  <si>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</si>
  <si>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</si>
  <si>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</si>
  <si>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</si>
  <si>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</si>
  <si>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</si>
  <si>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</si>
  <si>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</si>
  <si>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</si>
  <si>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</si>
  <si>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</si>
  <si>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</si>
  <si>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</si>
  <si>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</si>
  <si>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</si>
  <si>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</si>
  <si>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</si>
  <si>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</si>
  <si>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</si>
  <si>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</si>
  <si>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</si>
  <si>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</si>
  <si>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</si>
  <si>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</si>
  <si>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</si>
  <si>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</si>
  <si>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</si>
  <si>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</si>
  <si>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</si>
  <si>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</si>
  <si>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</si>
  <si>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</si>
  <si>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</si>
  <si>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</si>
  <si>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</si>
  <si>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</si>
  <si>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</si>
  <si>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</si>
  <si>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</si>
  <si>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</si>
  <si>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</si>
  <si>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</si>
  <si>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</si>
  <si>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</si>
  <si>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</si>
  <si>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</si>
  <si>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</si>
  <si>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</si>
  <si>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</si>
  <si>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</si>
  <si>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</si>
  <si>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</si>
  <si>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</si>
  <si>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</si>
  <si>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</si>
  <si>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</si>
  <si>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</si>
  <si>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</si>
  <si>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</si>
  <si>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</si>
  <si>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</si>
  <si>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</si>
  <si>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</si>
  <si>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</si>
  <si>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</si>
  <si>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</si>
  <si>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</si>
  <si>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</si>
  <si>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</si>
  <si>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</si>
  <si>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</si>
  <si>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</si>
  <si>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</si>
  <si>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</si>
  <si>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</si>
  <si>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</si>
  <si>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</si>
  <si>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</si>
  <si>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</si>
  <si>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</si>
  <si>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</si>
  <si>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</si>
  <si>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</si>
  <si>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</si>
  <si>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</si>
  <si>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</si>
  <si>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</si>
  <si>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</si>
  <si>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</si>
  <si>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</si>
  <si>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</si>
  <si>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</si>
  <si>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</si>
  <si>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</si>
  <si>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</si>
  <si>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</si>
  <si>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</si>
  <si>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</si>
  <si>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</si>
  <si>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</si>
  <si>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</si>
  <si>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</si>
  <si>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</si>
  <si>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</si>
  <si>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</si>
  <si>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</si>
  <si>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</si>
  <si>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</si>
  <si>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</si>
  <si>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</si>
  <si>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</si>
  <si>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</si>
  <si>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</si>
  <si>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</si>
  <si>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</si>
  <si>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</si>
  <si>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</si>
  <si>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</si>
  <si>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</si>
  <si>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</si>
  <si>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</si>
  <si>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</si>
  <si>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</si>
  <si>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</si>
  <si>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</si>
  <si>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</si>
  <si>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</si>
  <si>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</si>
  <si>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</si>
  <si>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</si>
  <si>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</si>
  <si>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</si>
  <si>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</si>
  <si>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</si>
  <si>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</si>
  <si>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</si>
  <si>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</si>
  <si>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</si>
  <si>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</si>
  <si>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</si>
  <si>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</si>
  <si>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</si>
  <si>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</si>
  <si>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</si>
  <si>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</si>
  <si>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</si>
  <si>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</si>
  <si>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</si>
  <si>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</si>
  <si>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</si>
  <si>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</si>
  <si>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</si>
  <si>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</si>
  <si>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</si>
  <si>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</si>
  <si>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</si>
  <si>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</si>
  <si>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</si>
  <si>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</si>
  <si>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</si>
  <si>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</si>
  <si>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</si>
  <si>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</si>
  <si>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</si>
  <si>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</si>
  <si>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</si>
  <si>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</si>
  <si>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</si>
  <si>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</si>
  <si>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</si>
  <si>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</si>
  <si>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</si>
  <si>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</si>
  <si>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</si>
  <si>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</si>
  <si>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</si>
  <si>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</si>
  <si>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</si>
  <si>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</si>
  <si>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</si>
  <si>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</si>
  <si>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</si>
  <si>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</si>
  <si>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</si>
  <si>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</si>
  <si>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</si>
  <si>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</si>
  <si>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</si>
  <si>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</si>
  <si>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</si>
  <si>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</si>
  <si>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</si>
  <si>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</si>
  <si>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</si>
  <si>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</si>
  <si>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</si>
  <si>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</si>
  <si>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</si>
  <si>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</si>
  <si>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</si>
  <si>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</si>
  <si>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</si>
  <si>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</si>
  <si>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</si>
  <si>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</si>
  <si>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</si>
  <si>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</si>
  <si>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</si>
  <si>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</si>
  <si>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</si>
  <si>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</si>
  <si>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</si>
  <si>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</si>
  <si>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</si>
  <si>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</si>
  <si>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</si>
  <si>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</si>
  <si>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</si>
  <si>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</si>
  <si>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</si>
  <si>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</si>
  <si>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</si>
  <si>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</si>
  <si>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</si>
  <si>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</si>
  <si>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</si>
  <si>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</si>
  <si>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</si>
  <si>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</si>
  <si>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</si>
  <si>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</si>
  <si>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</si>
  <si>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</si>
  <si>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</si>
  <si>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</si>
  <si>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</si>
  <si>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</si>
  <si>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</si>
  <si>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</si>
  <si>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</si>
  <si>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</si>
  <si>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</si>
  <si>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</si>
  <si>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</si>
  <si>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</si>
  <si>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</si>
  <si>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</si>
  <si>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</si>
  <si>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</si>
  <si>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</si>
  <si>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</si>
  <si>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</si>
  <si>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</si>
  <si>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</si>
  <si>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</si>
  <si>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</si>
  <si>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</si>
  <si>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</si>
  <si>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</si>
  <si>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</si>
  <si>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</si>
  <si>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</si>
  <si>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</si>
  <si>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</si>
  <si>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</si>
  <si>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</si>
  <si>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</si>
  <si>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</si>
  <si>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</si>
  <si>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</si>
  <si>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</si>
  <si>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</si>
  <si>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</si>
  <si>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</si>
  <si>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</si>
  <si>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</si>
  <si>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</si>
  <si>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</si>
  <si>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</si>
  <si>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</si>
  <si>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</si>
  <si>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</si>
  <si>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</si>
  <si>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</si>
  <si>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</si>
  <si>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</si>
  <si>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</si>
  <si>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</si>
  <si>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</si>
  <si>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</si>
  <si>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</si>
  <si>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</si>
  <si>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</si>
  <si>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</si>
  <si>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</si>
  <si>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</si>
  <si>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</si>
  <si>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</si>
  <si>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</si>
  <si>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</si>
  <si>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</si>
  <si>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</si>
  <si>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</si>
  <si>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</si>
  <si>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</si>
  <si>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</si>
  <si>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</si>
  <si>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</si>
  <si>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</si>
  <si>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</si>
  <si>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</si>
  <si>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</si>
  <si>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</si>
  <si>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</si>
  <si>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</si>
  <si>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</si>
  <si>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</si>
  <si>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</si>
  <si>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</si>
  <si>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</si>
  <si>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</si>
  <si>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</si>
  <si>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</si>
  <si>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</si>
  <si>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</si>
  <si>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</si>
  <si>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</si>
  <si>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</si>
  <si>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</si>
  <si>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</si>
  <si>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</si>
  <si>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</si>
  <si>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</si>
  <si>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</si>
  <si>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</si>
  <si>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</si>
  <si>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</si>
  <si>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</si>
  <si>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</si>
  <si>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</si>
  <si>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</si>
  <si>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</si>
  <si>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</si>
  <si>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</si>
  <si>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</si>
  <si>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</si>
  <si>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</si>
  <si>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</si>
  <si>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</si>
  <si>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</si>
  <si>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</si>
  <si>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</si>
  <si>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</si>
  <si>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</si>
  <si>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</si>
  <si>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</si>
  <si>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</si>
  <si>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</si>
  <si>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</si>
  <si>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</si>
  <si>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</si>
  <si>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</si>
  <si>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</si>
  <si>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</si>
  <si>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</si>
  <si>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</si>
  <si>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</si>
  <si>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</si>
  <si>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</si>
  <si>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</si>
  <si>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</si>
  <si>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</si>
  <si>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</si>
  <si>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</si>
  <si>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</si>
  <si>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</si>
  <si>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</si>
  <si>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</si>
  <si>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</si>
  <si>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</si>
  <si>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</si>
  <si>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</si>
  <si>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</si>
  <si>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</si>
  <si>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</si>
  <si>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</si>
  <si>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</si>
  <si>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</si>
  <si>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</si>
  <si>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</si>
  <si>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</si>
  <si>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</si>
  <si>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</si>
  <si>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</si>
  <si>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</si>
  <si>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</si>
  <si>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</si>
  <si>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</si>
  <si>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</si>
  <si>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</si>
  <si>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</si>
  <si>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</si>
  <si>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</si>
  <si>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</si>
  <si>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</si>
  <si>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</si>
  <si>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</si>
  <si>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</si>
  <si>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</si>
  <si>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</si>
  <si>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</si>
  <si>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</si>
  <si>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</si>
  <si>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</si>
  <si>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</si>
  <si>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</si>
  <si>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</si>
  <si>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</si>
  <si>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</si>
  <si>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</si>
  <si>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</si>
  <si>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</si>
  <si>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</si>
  <si>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</si>
  <si>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</si>
  <si>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</si>
  <si>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</si>
  <si>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</si>
  <si>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</si>
  <si>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</si>
  <si>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</si>
  <si>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</si>
  <si>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</si>
  <si>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</si>
  <si>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</si>
  <si>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</si>
  <si>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</si>
  <si>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</si>
  <si>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</si>
  <si>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</si>
  <si>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</si>
  <si>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</si>
  <si>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</si>
  <si>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</si>
  <si>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</si>
  <si>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</si>
  <si>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</si>
  <si>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</si>
  <si>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</si>
  <si>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</si>
  <si>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</si>
  <si>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</si>
  <si>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</si>
  <si>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</si>
  <si>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</si>
  <si>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</si>
  <si>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</si>
  <si>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</si>
  <si>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</si>
  <si>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</si>
  <si>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</si>
  <si>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</si>
  <si>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</si>
  <si>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</si>
  <si>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</si>
  <si>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</si>
  <si>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</si>
  <si>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</si>
  <si>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</si>
  <si>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</si>
  <si>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</si>
  <si>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</si>
  <si>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</si>
  <si>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</si>
  <si>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</si>
  <si>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</si>
  <si>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</si>
  <si>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</si>
  <si>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</si>
  <si>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</si>
  <si>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</si>
  <si>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</si>
  <si>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</si>
  <si>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</si>
  <si>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</si>
  <si>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</si>
  <si>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</si>
  <si>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</si>
  <si>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</si>
  <si>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</si>
  <si>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</si>
  <si>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</si>
  <si>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</si>
  <si>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</si>
  <si>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</si>
  <si>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</si>
  <si>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</si>
  <si>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</si>
  <si>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</si>
  <si>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</si>
  <si>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</si>
  <si>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</si>
  <si>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</si>
  <si>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</si>
  <si>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</si>
  <si>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</si>
  <si>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</si>
  <si>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</si>
  <si>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</si>
  <si>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</si>
  <si>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</si>
  <si>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</si>
  <si>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</si>
  <si>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</si>
  <si>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</si>
  <si>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</si>
  <si>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</si>
  <si>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</si>
  <si>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</si>
  <si>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</si>
  <si>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</si>
  <si>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</si>
  <si>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</si>
  <si>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</si>
  <si>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</si>
  <si>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</si>
  <si>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</si>
  <si>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</si>
  <si>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</si>
  <si>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</si>
  <si>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</si>
  <si>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</si>
  <si>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</si>
  <si>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</si>
  <si>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</si>
  <si>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</si>
  <si>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</si>
  <si>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</si>
  <si>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</si>
  <si>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</si>
  <si>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</si>
  <si>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</si>
  <si>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</si>
  <si>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</si>
  <si>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</si>
  <si>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to Copy/Paste LONG</t>
  </si>
  <si>
    <t>Template to Copy/Paste SHORT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</si>
  <si>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</si>
  <si>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</si>
  <si>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</si>
  <si>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</si>
  <si>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</si>
  <si>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</si>
  <si>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</si>
  <si>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</si>
  <si>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</si>
  <si>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</si>
  <si>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</si>
  <si>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</si>
  <si>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</si>
  <si>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</si>
  <si>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</si>
  <si>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</si>
  <si>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</si>
  <si>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</si>
  <si>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</si>
  <si>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</si>
  <si>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</si>
  <si>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</si>
  <si>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</si>
  <si>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</si>
  <si>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</si>
  <si>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</si>
  <si>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</si>
  <si>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</si>
  <si>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</si>
  <si>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</si>
  <si>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</si>
  <si>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</si>
  <si>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</si>
  <si>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</si>
  <si>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</si>
  <si>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</si>
  <si>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</si>
  <si>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</si>
  <si>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</si>
  <si>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</si>
  <si>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</si>
  <si>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</si>
  <si>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</si>
  <si>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</si>
  <si>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</si>
  <si>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</si>
  <si>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</si>
  <si>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</si>
  <si>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</si>
  <si>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</si>
  <si>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</si>
  <si>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</si>
  <si>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</si>
  <si>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</si>
  <si>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</si>
  <si>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</si>
  <si>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</si>
  <si>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</si>
  <si>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</si>
  <si>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</si>
  <si>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</si>
  <si>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</si>
  <si>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</si>
  <si>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</si>
  <si>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</si>
  <si>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</si>
  <si>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</si>
  <si>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</si>
  <si>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</si>
  <si>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</si>
  <si>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</si>
  <si>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</si>
  <si>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</si>
  <si>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</si>
  <si>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</si>
  <si>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</si>
  <si>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</si>
  <si>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</si>
  <si>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</si>
  <si>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</si>
  <si>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</si>
  <si>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</si>
  <si>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</si>
  <si>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</si>
  <si>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</si>
  <si>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</si>
  <si>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</si>
  <si>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</si>
  <si>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</si>
  <si>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</si>
  <si>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</si>
  <si>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</si>
  <si>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</si>
  <si>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</si>
  <si>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</si>
  <si>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</si>
  <si>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</si>
  <si>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</si>
  <si>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</si>
  <si>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</si>
  <si>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</si>
  <si>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</si>
  <si>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</si>
  <si>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</si>
  <si>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</si>
  <si>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</si>
  <si>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</si>
  <si>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</si>
  <si>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</si>
  <si>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</si>
  <si>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</si>
  <si>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</si>
  <si>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</si>
  <si>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</si>
  <si>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</si>
  <si>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</si>
  <si>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</si>
  <si>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</si>
  <si>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</si>
  <si>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</si>
  <si>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</si>
  <si>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</si>
  <si>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</si>
  <si>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</si>
  <si>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</si>
  <si>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</si>
  <si>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</si>
  <si>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</si>
  <si>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</si>
  <si>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</si>
  <si>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</si>
  <si>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</si>
  <si>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</si>
  <si>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</si>
  <si>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</si>
  <si>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</si>
  <si>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</si>
  <si>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</si>
  <si>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</si>
  <si>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</si>
  <si>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</si>
  <si>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</si>
  <si>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</si>
  <si>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</si>
  <si>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</si>
  <si>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</si>
  <si>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</si>
  <si>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</si>
  <si>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</si>
  <si>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</si>
  <si>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</si>
  <si>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</si>
  <si>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</si>
  <si>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</si>
  <si>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</si>
  <si>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</si>
  <si>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</si>
  <si>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</si>
  <si>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</si>
  <si>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</si>
  <si>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</si>
  <si>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</si>
  <si>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</si>
  <si>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</si>
  <si>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</si>
  <si>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</si>
  <si>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</si>
  <si>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</si>
  <si>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</si>
  <si>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</si>
  <si>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</si>
  <si>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</si>
  <si>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</si>
  <si>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</si>
  <si>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</si>
  <si>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</si>
  <si>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</si>
  <si>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</si>
  <si>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</si>
  <si>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</si>
  <si>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</si>
  <si>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</si>
  <si>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</si>
  <si>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</si>
  <si>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</si>
  <si>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</si>
  <si>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</si>
  <si>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</si>
  <si>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</si>
  <si>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</si>
  <si>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</si>
  <si>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</si>
  <si>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</si>
  <si>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</si>
  <si>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</si>
  <si>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</si>
  <si>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</si>
  <si>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</si>
  <si>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</si>
  <si>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</si>
  <si>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</si>
  <si>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</si>
  <si>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</si>
  <si>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</si>
  <si>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</si>
  <si>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</si>
  <si>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</si>
  <si>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</si>
  <si>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</si>
  <si>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</si>
  <si>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</si>
  <si>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</si>
  <si>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</si>
  <si>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</si>
  <si>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</si>
  <si>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</si>
  <si>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</si>
  <si>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</si>
  <si>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</si>
  <si>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</si>
  <si>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</si>
  <si>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</si>
  <si>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</si>
  <si>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</si>
  <si>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</si>
  <si>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</si>
  <si>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</si>
  <si>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</si>
  <si>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</si>
  <si>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</si>
  <si>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</si>
  <si>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</si>
  <si>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</si>
  <si>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</si>
  <si>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</si>
  <si>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</si>
  <si>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</si>
  <si>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</si>
  <si>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</si>
  <si>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</si>
  <si>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</si>
  <si>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</si>
  <si>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</si>
  <si>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</si>
  <si>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</si>
  <si>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</si>
  <si>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</si>
  <si>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</si>
  <si>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</si>
  <si>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</si>
  <si>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</si>
  <si>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</si>
  <si>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</si>
  <si>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</si>
  <si>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</si>
  <si>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</si>
  <si>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</si>
  <si>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</si>
  <si>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</si>
  <si>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</si>
  <si>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</si>
  <si>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</si>
  <si>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</si>
  <si>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</si>
  <si>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</si>
  <si>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</si>
  <si>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</si>
  <si>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</si>
  <si>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</si>
  <si>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</si>
  <si>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</si>
  <si>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</si>
  <si>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</si>
  <si>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</si>
  <si>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</si>
  <si>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</si>
  <si>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</si>
  <si>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</si>
  <si>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</si>
  <si>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</si>
  <si>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</si>
  <si>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</si>
  <si>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</si>
  <si>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</si>
  <si>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</si>
  <si>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</si>
  <si>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</si>
  <si>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</si>
  <si>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</si>
  <si>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</si>
  <si>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</si>
  <si>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</si>
  <si>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</si>
  <si>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</si>
  <si>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</si>
  <si>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</si>
  <si>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</si>
  <si>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</si>
  <si>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</si>
  <si>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</si>
  <si>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</si>
  <si>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</si>
  <si>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</si>
  <si>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</si>
  <si>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</si>
  <si>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</si>
  <si>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</si>
  <si>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</si>
  <si>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</si>
  <si>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</si>
  <si>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</si>
  <si>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</si>
  <si>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</si>
  <si>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</si>
  <si>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</si>
  <si>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</si>
  <si>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</si>
  <si>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</si>
  <si>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</si>
  <si>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</si>
  <si>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</si>
  <si>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</si>
  <si>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</si>
  <si>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</si>
  <si>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</si>
  <si>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</si>
  <si>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</si>
  <si>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</si>
  <si>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</si>
  <si>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</si>
  <si>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</si>
  <si>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</si>
  <si>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</si>
  <si>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</si>
  <si>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</si>
  <si>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</si>
  <si>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</si>
  <si>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</si>
  <si>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</si>
  <si>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</si>
  <si>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</si>
  <si>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</si>
  <si>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</si>
  <si>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</si>
  <si>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</si>
  <si>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</si>
  <si>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</si>
  <si>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</si>
  <si>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</si>
  <si>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</si>
  <si>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</si>
  <si>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</si>
  <si>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</si>
  <si>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</si>
  <si>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</si>
  <si>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</si>
  <si>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</si>
  <si>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</si>
  <si>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</si>
  <si>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</si>
  <si>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</si>
  <si>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</si>
  <si>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</si>
  <si>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</si>
  <si>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</si>
  <si>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</si>
  <si>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</si>
  <si>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</si>
  <si>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</si>
  <si>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</si>
  <si>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</si>
  <si>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</si>
  <si>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</si>
  <si>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</si>
  <si>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</si>
  <si>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</si>
  <si>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</si>
  <si>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</si>
  <si>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</si>
  <si>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</si>
  <si>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</si>
  <si>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</si>
  <si>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</si>
  <si>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</si>
  <si>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</si>
  <si>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</si>
  <si>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</si>
  <si>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</si>
  <si>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</si>
  <si>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</si>
  <si>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</si>
  <si>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</si>
  <si>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</si>
  <si>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</si>
  <si>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</si>
  <si>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</si>
  <si>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</si>
  <si>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</si>
  <si>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</si>
  <si>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</si>
  <si>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</si>
  <si>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</si>
  <si>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</si>
  <si>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</si>
  <si>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</si>
  <si>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</si>
  <si>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</si>
  <si>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</si>
  <si>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</si>
  <si>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</si>
  <si>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</si>
  <si>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</si>
  <si>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</si>
  <si>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</si>
  <si>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</si>
  <si>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</si>
  <si>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</si>
  <si>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</si>
  <si>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</si>
  <si>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</si>
  <si>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</si>
  <si>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</si>
  <si>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</si>
  <si>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</si>
  <si>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</si>
  <si>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</si>
  <si>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</si>
  <si>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</si>
  <si>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</si>
  <si>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</si>
  <si>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</si>
  <si>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</si>
  <si>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</si>
  <si>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</si>
  <si>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</si>
  <si>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</si>
  <si>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</si>
  <si>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</si>
  <si>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</si>
  <si>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</si>
  <si>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</si>
  <si>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</si>
  <si>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</si>
  <si>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</si>
  <si>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</si>
  <si>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</si>
  <si>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</si>
  <si>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</si>
  <si>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</si>
  <si>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</si>
  <si>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</si>
  <si>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</si>
  <si>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</si>
  <si>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</si>
  <si>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</si>
  <si>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</si>
  <si>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</si>
  <si>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</si>
  <si>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</si>
  <si>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</si>
  <si>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</si>
  <si>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</si>
  <si>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</si>
  <si>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</si>
  <si>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</si>
  <si>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</si>
  <si>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</si>
  <si>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</si>
  <si>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</si>
  <si>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</si>
  <si>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</si>
  <si>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</si>
  <si>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</si>
  <si>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</si>
  <si>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</si>
  <si>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</si>
  <si>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</si>
  <si>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</si>
  <si>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</si>
  <si>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</si>
  <si>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</si>
  <si>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</si>
  <si>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</si>
  <si>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</si>
  <si>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</si>
  <si>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</si>
  <si>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</si>
  <si>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</si>
  <si>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</si>
  <si>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</si>
  <si>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</si>
  <si>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</si>
  <si>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</si>
  <si>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</si>
  <si>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</si>
  <si>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</si>
  <si>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</si>
  <si>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</si>
  <si>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</si>
  <si>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</si>
  <si>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</si>
  <si>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</si>
  <si>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</si>
  <si>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</si>
  <si>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</si>
  <si>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</si>
  <si>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</si>
  <si>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</si>
  <si>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</si>
  <si>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</si>
  <si>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</si>
  <si>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</si>
  <si>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</si>
  <si>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</si>
  <si>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</si>
  <si>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</si>
  <si>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</si>
  <si>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</si>
  <si>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</si>
  <si>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</si>
  <si>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</si>
  <si>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</si>
  <si>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</si>
  <si>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</si>
  <si>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</si>
  <si>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</si>
  <si>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</si>
  <si>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</si>
  <si>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</si>
  <si>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</si>
  <si>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</si>
  <si>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</si>
  <si>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</si>
  <si>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</si>
  <si>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</si>
  <si>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</si>
  <si>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</si>
  <si>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</si>
  <si>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</si>
  <si>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</si>
  <si>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</si>
  <si>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</si>
  <si>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</si>
  <si>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</si>
  <si>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</si>
  <si>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</si>
  <si>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</si>
  <si>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</si>
  <si>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</si>
  <si>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</si>
  <si>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</si>
  <si>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</si>
  <si>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</si>
  <si>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</si>
  <si>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</si>
  <si>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</si>
  <si>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</si>
  <si>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</si>
  <si>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</si>
  <si>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</si>
  <si>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</si>
  <si>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</si>
  <si>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</si>
  <si>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</si>
  <si>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</si>
  <si>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</si>
  <si>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</si>
  <si>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</si>
  <si>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</si>
  <si>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</si>
  <si>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</si>
  <si>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</si>
  <si>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</si>
  <si>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</si>
  <si>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</si>
  <si>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</si>
  <si>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</si>
  <si>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</si>
  <si>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</si>
  <si>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</si>
  <si>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</si>
  <si>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</si>
  <si>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</si>
  <si>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</si>
  <si>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</si>
  <si>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</si>
  <si>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</si>
  <si>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</si>
  <si>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</si>
  <si>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</si>
  <si>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</si>
  <si>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</si>
  <si>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Long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</si>
  <si>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</si>
  <si>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</si>
  <si>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</si>
  <si>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</si>
  <si>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</si>
  <si>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</si>
  <si>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</si>
  <si>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</si>
  <si>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</si>
  <si>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</si>
  <si>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</si>
  <si>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</si>
  <si>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</si>
  <si>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</si>
  <si>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</si>
  <si>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</si>
  <si>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</si>
  <si>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</si>
  <si>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</si>
  <si>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</si>
  <si>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</si>
  <si>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</si>
  <si>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</si>
  <si>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</si>
  <si>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</si>
  <si>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</si>
  <si>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</si>
  <si>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</si>
  <si>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</si>
  <si>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</si>
  <si>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</si>
  <si>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</si>
  <si>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</si>
  <si>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</si>
  <si>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</si>
  <si>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</si>
  <si>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</si>
  <si>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</si>
  <si>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</si>
  <si>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</si>
  <si>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</si>
  <si>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</si>
  <si>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</si>
  <si>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</si>
  <si>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</si>
  <si>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</si>
  <si>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</si>
  <si>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</si>
  <si>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</si>
  <si>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</si>
  <si>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</si>
  <si>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</si>
  <si>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</si>
  <si>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</si>
  <si>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</si>
  <si>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</si>
  <si>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</si>
  <si>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</si>
  <si>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</si>
  <si>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</si>
  <si>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</si>
  <si>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</si>
  <si>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</si>
  <si>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</si>
  <si>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</si>
  <si>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</si>
  <si>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</si>
  <si>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</si>
  <si>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</si>
  <si>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</si>
  <si>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</si>
  <si>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</si>
  <si>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</si>
  <si>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</si>
  <si>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</si>
  <si>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</si>
  <si>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</si>
  <si>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</si>
  <si>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</si>
  <si>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</si>
  <si>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</si>
  <si>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</si>
  <si>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</si>
  <si>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</si>
  <si>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</si>
  <si>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</si>
  <si>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</si>
  <si>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</si>
  <si>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</si>
  <si>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</si>
  <si>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</si>
  <si>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</si>
  <si>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</si>
  <si>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</si>
  <si>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</si>
  <si>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</si>
  <si>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</si>
  <si>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</si>
  <si>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</si>
  <si>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</si>
  <si>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</si>
  <si>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</si>
  <si>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</si>
  <si>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</si>
  <si>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</si>
  <si>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</si>
  <si>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</si>
  <si>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</si>
  <si>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</si>
  <si>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</si>
  <si>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</si>
  <si>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</si>
  <si>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</si>
  <si>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</si>
  <si>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</si>
  <si>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</si>
  <si>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</si>
  <si>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</si>
  <si>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</si>
  <si>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</si>
  <si>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</si>
  <si>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</si>
  <si>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</si>
  <si>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</si>
  <si>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</si>
  <si>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</si>
  <si>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</si>
  <si>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</si>
  <si>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</si>
  <si>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</si>
  <si>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</si>
  <si>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</si>
  <si>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</si>
  <si>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</si>
  <si>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</si>
  <si>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</si>
  <si>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</si>
  <si>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</si>
  <si>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</si>
  <si>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</si>
  <si>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</si>
  <si>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</si>
  <si>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</si>
  <si>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</si>
  <si>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</si>
  <si>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</si>
  <si>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</si>
  <si>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</si>
  <si>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</si>
  <si>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</si>
  <si>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</si>
  <si>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</si>
  <si>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</si>
  <si>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Investe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</si>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</sst>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52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898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9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4" fillId="0" borderId="0" xfId="0" applyFont="1"/>
    <xf numFmtId="0" fontId="0" fillId="0" borderId="0" xfId="0" applyFont="1" applyFill="1"/>
    <xf numFmtId="14" fontId="26" fillId="2" borderId="1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0" fontId="29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2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8" fontId="30" fillId="0" borderId="0" xfId="2" applyNumberFormat="1" applyFont="1" applyFill="1" applyBorder="1"/>
    <xf numFmtId="44" fontId="31" fillId="0" borderId="0" xfId="2" applyFont="1" applyFill="1" applyBorder="1"/>
    <xf numFmtId="182" fontId="30" fillId="0" borderId="0" xfId="1" applyNumberFormat="1" applyFont="1" applyFill="1" applyBorder="1"/>
    <xf numFmtId="44" fontId="30" fillId="0" borderId="0" xfId="2" applyFont="1" applyFill="1" applyBorder="1"/>
    <xf numFmtId="9" fontId="32" fillId="0" borderId="0" xfId="3" applyFont="1" applyFill="1" applyBorder="1"/>
    <xf numFmtId="44" fontId="32" fillId="0" borderId="0" xfId="2" applyFont="1" applyFill="1" applyBorder="1"/>
    <xf numFmtId="2" fontId="32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14" fontId="18" fillId="7" borderId="0" xfId="0" applyNumberFormat="1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176" fontId="18" fillId="7" borderId="0" xfId="0" applyNumberFormat="1" applyFont="1" applyFill="1" applyAlignment="1">
      <alignment horizontal="center"/>
    </xf>
    <xf numFmtId="4" fontId="5" fillId="7" borderId="0" xfId="0" applyNumberFormat="1" applyFont="1" applyFill="1" applyAlignment="1">
      <alignment wrapText="1"/>
    </xf>
    <xf numFmtId="0" fontId="5" fillId="7" borderId="0" xfId="0" applyFont="1" applyFill="1" applyAlignment="1">
      <alignment wrapText="1"/>
    </xf>
    <xf numFmtId="4" fontId="5" fillId="7" borderId="0" xfId="0" applyNumberFormat="1" applyFont="1" applyFill="1" applyAlignment="1">
      <alignment horizontal="center"/>
    </xf>
    <xf numFmtId="40" fontId="5" fillId="7" borderId="0" xfId="0" applyNumberFormat="1" applyFont="1" applyFill="1" applyAlignment="1">
      <alignment horizontal="center"/>
    </xf>
    <xf numFmtId="178" fontId="18" fillId="7" borderId="0" xfId="0" applyNumberFormat="1" applyFont="1" applyFill="1" applyAlignment="1">
      <alignment horizontal="center"/>
    </xf>
    <xf numFmtId="8" fontId="5" fillId="7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14" fontId="23" fillId="7" borderId="0" xfId="0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169" fontId="3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0" fillId="0" borderId="0" xfId="0" applyNumberFormat="1" applyFont="1" applyFill="1" applyAlignment="1"/>
    <xf numFmtId="173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horizontal="right"/>
    </xf>
    <xf numFmtId="8" fontId="30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72" fontId="36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3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169" fontId="30" fillId="0" borderId="0" xfId="0" applyNumberFormat="1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180" fontId="37" fillId="0" borderId="0" xfId="0" applyNumberFormat="1" applyFont="1" applyAlignment="1">
      <alignment horizontal="center"/>
    </xf>
    <xf numFmtId="170" fontId="30" fillId="0" borderId="0" xfId="0" applyNumberFormat="1" applyFont="1" applyFill="1" applyAlignment="1">
      <alignment horizontal="center"/>
    </xf>
    <xf numFmtId="8" fontId="30" fillId="0" borderId="0" xfId="0" applyNumberFormat="1" applyFont="1" applyFill="1" applyAlignment="1">
      <alignment wrapText="1"/>
    </xf>
    <xf numFmtId="8" fontId="30" fillId="0" borderId="0" xfId="0" applyNumberFormat="1" applyFont="1" applyFill="1" applyAlignment="1">
      <alignment horizontal="right" wrapText="1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65" fontId="39" fillId="0" borderId="0" xfId="0" applyNumberFormat="1" applyFont="1" applyAlignment="1">
      <alignment horizontal="center"/>
    </xf>
    <xf numFmtId="169" fontId="39" fillId="0" borderId="0" xfId="0" applyNumberFormat="1" applyFont="1" applyFill="1" applyAlignment="1">
      <alignment horizontal="center" wrapText="1"/>
    </xf>
    <xf numFmtId="0" fontId="39" fillId="0" borderId="0" xfId="0" applyFont="1" applyFill="1" applyAlignment="1">
      <alignment wrapText="1"/>
    </xf>
    <xf numFmtId="180" fontId="39" fillId="0" borderId="0" xfId="0" applyNumberFormat="1" applyFont="1" applyAlignment="1">
      <alignment horizontal="center"/>
    </xf>
    <xf numFmtId="170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wrapText="1"/>
    </xf>
    <xf numFmtId="173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 wrapText="1"/>
    </xf>
    <xf numFmtId="167" fontId="3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>
      <alignment horizontal="center"/>
    </xf>
    <xf numFmtId="169" fontId="39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0" fillId="0" borderId="0" xfId="0" applyNumberFormat="1" applyFont="1" applyFill="1" applyAlignment="1">
      <alignment horizontal="center"/>
    </xf>
    <xf numFmtId="166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center"/>
    </xf>
    <xf numFmtId="8" fontId="39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center"/>
    </xf>
    <xf numFmtId="164" fontId="39" fillId="4" borderId="0" xfId="0" applyNumberFormat="1" applyFont="1" applyFill="1" applyAlignment="1">
      <alignment horizontal="center"/>
    </xf>
    <xf numFmtId="0" fontId="39" fillId="4" borderId="0" xfId="0" applyFont="1" applyFill="1" applyAlignment="1">
      <alignment horizontal="center"/>
    </xf>
    <xf numFmtId="169" fontId="39" fillId="4" borderId="0" xfId="0" applyNumberFormat="1" applyFont="1" applyFill="1" applyAlignment="1">
      <alignment horizontal="center"/>
    </xf>
    <xf numFmtId="14" fontId="40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center"/>
    </xf>
    <xf numFmtId="173" fontId="39" fillId="4" borderId="0" xfId="0" applyNumberFormat="1" applyFont="1" applyFill="1" applyAlignment="1">
      <alignment horizontal="center"/>
    </xf>
    <xf numFmtId="8" fontId="39" fillId="4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0" fillId="0" borderId="0" xfId="0" applyNumberFormat="1" applyFont="1" applyFill="1" applyAlignment="1">
      <alignment wrapText="1"/>
    </xf>
    <xf numFmtId="173" fontId="30" fillId="0" borderId="0" xfId="0" applyNumberFormat="1" applyFont="1" applyFill="1" applyAlignment="1">
      <alignment horizontal="center" wrapText="1"/>
    </xf>
    <xf numFmtId="173" fontId="39" fillId="0" borderId="0" xfId="0" applyNumberFormat="1" applyFont="1" applyFill="1" applyAlignment="1">
      <alignment horizontal="center" wrapText="1"/>
    </xf>
    <xf numFmtId="14" fontId="3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3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4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65" fontId="32" fillId="0" borderId="0" xfId="0" applyNumberFormat="1" applyFont="1" applyFill="1" applyAlignment="1">
      <alignment horizontal="center"/>
    </xf>
    <xf numFmtId="165" fontId="32" fillId="5" borderId="0" xfId="0" applyNumberFormat="1" applyFont="1" applyFill="1" applyAlignment="1">
      <alignment horizontal="center"/>
    </xf>
    <xf numFmtId="173" fontId="30" fillId="5" borderId="0" xfId="0" applyNumberFormat="1" applyFont="1" applyFill="1" applyAlignment="1">
      <alignment horizontal="center" wrapText="1"/>
    </xf>
    <xf numFmtId="165" fontId="39" fillId="5" borderId="0" xfId="0" applyNumberFormat="1" applyFont="1" applyFill="1" applyAlignment="1">
      <alignment horizontal="center"/>
    </xf>
    <xf numFmtId="173" fontId="39" fillId="5" borderId="0" xfId="0" applyNumberFormat="1" applyFont="1" applyFill="1" applyAlignment="1">
      <alignment horizontal="center" wrapText="1"/>
    </xf>
    <xf numFmtId="0" fontId="38" fillId="5" borderId="0" xfId="0" applyFont="1" applyFill="1" applyAlignment="1">
      <alignment horizontal="center"/>
    </xf>
    <xf numFmtId="14" fontId="39" fillId="5" borderId="0" xfId="0" applyNumberFormat="1" applyFont="1" applyFill="1" applyAlignment="1">
      <alignment horizontal="center"/>
    </xf>
    <xf numFmtId="0" fontId="39" fillId="5" borderId="0" xfId="0" applyFont="1" applyFill="1" applyAlignment="1">
      <alignment horizontal="center"/>
    </xf>
    <xf numFmtId="169" fontId="39" fillId="5" borderId="0" xfId="0" applyNumberFormat="1" applyFont="1" applyFill="1" applyAlignment="1">
      <alignment horizontal="center" wrapText="1"/>
    </xf>
    <xf numFmtId="167" fontId="39" fillId="5" borderId="0" xfId="0" applyNumberFormat="1" applyFont="1" applyFill="1" applyAlignment="1">
      <alignment horizontal="center"/>
    </xf>
    <xf numFmtId="170" fontId="39" fillId="5" borderId="0" xfId="0" applyNumberFormat="1" applyFont="1" applyFill="1" applyAlignment="1">
      <alignment horizontal="center"/>
    </xf>
    <xf numFmtId="8" fontId="30" fillId="5" borderId="0" xfId="0" applyNumberFormat="1" applyFont="1" applyFill="1" applyAlignment="1">
      <alignment wrapText="1"/>
    </xf>
    <xf numFmtId="8" fontId="30" fillId="5" borderId="0" xfId="0" applyNumberFormat="1" applyFont="1" applyFill="1" applyAlignment="1">
      <alignment horizontal="right" wrapText="1"/>
    </xf>
    <xf numFmtId="14" fontId="30" fillId="0" borderId="0" xfId="0" applyNumberFormat="1" applyFont="1" applyFill="1" applyAlignment="1">
      <alignment horizontal="center"/>
    </xf>
    <xf numFmtId="165" fontId="30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0" fillId="5" borderId="0" xfId="0" applyNumberFormat="1" applyFont="1" applyFill="1" applyAlignment="1">
      <alignment horizontal="center"/>
    </xf>
    <xf numFmtId="0" fontId="30" fillId="5" borderId="0" xfId="0" applyFont="1" applyFill="1" applyAlignment="1">
      <alignment horizontal="center"/>
    </xf>
    <xf numFmtId="165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 wrapText="1"/>
    </xf>
    <xf numFmtId="167" fontId="30" fillId="5" borderId="0" xfId="0" applyNumberFormat="1" applyFont="1" applyFill="1" applyAlignment="1">
      <alignment horizontal="center"/>
    </xf>
    <xf numFmtId="170" fontId="30" fillId="5" borderId="0" xfId="0" applyNumberFormat="1" applyFont="1" applyFill="1" applyAlignment="1">
      <alignment horizontal="center"/>
    </xf>
    <xf numFmtId="3" fontId="39" fillId="0" borderId="0" xfId="0" applyNumberFormat="1" applyFont="1" applyAlignment="1">
      <alignment horizontal="center"/>
    </xf>
    <xf numFmtId="165" fontId="39" fillId="0" borderId="0" xfId="0" applyNumberFormat="1" applyFont="1" applyAlignment="1">
      <alignment horizontal="left" indent="1"/>
    </xf>
    <xf numFmtId="164" fontId="30" fillId="0" borderId="0" xfId="0" applyNumberFormat="1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2" fillId="0" borderId="0" xfId="0" applyNumberFormat="1" applyFont="1"/>
    <xf numFmtId="0" fontId="32" fillId="0" borderId="0" xfId="0" applyNumberFormat="1" applyFont="1"/>
    <xf numFmtId="0" fontId="32" fillId="0" borderId="0" xfId="0" applyNumberFormat="1" applyFont="1" applyAlignment="1">
      <alignment horizontal="center"/>
    </xf>
    <xf numFmtId="14" fontId="32" fillId="0" borderId="0" xfId="0" applyNumberFormat="1" applyFont="1" applyFill="1"/>
    <xf numFmtId="0" fontId="32" fillId="0" borderId="0" xfId="0" applyFont="1"/>
    <xf numFmtId="0" fontId="39" fillId="0" borderId="0" xfId="0" applyNumberFormat="1" applyFont="1" applyAlignment="1">
      <alignment horizontal="center"/>
    </xf>
    <xf numFmtId="164" fontId="30" fillId="0" borderId="0" xfId="0" applyNumberFormat="1" applyFont="1" applyFill="1" applyAlignment="1">
      <alignment horizontal="center"/>
    </xf>
    <xf numFmtId="164" fontId="39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4" fillId="7" borderId="4" xfId="0" applyFont="1" applyFill="1" applyBorder="1" applyAlignment="1">
      <alignment wrapText="1"/>
    </xf>
    <xf numFmtId="0" fontId="4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wrapText="1"/>
    </xf>
    <xf numFmtId="0" fontId="27" fillId="7" borderId="4" xfId="0" applyFont="1" applyFill="1" applyBorder="1" applyAlignment="1">
      <alignment wrapText="1"/>
    </xf>
    <xf numFmtId="0" fontId="0" fillId="7" borderId="4" xfId="0" applyFill="1" applyBorder="1"/>
    <xf numFmtId="0" fontId="1" fillId="7" borderId="4" xfId="0" applyFont="1" applyFill="1" applyBorder="1" applyAlignment="1">
      <alignment horizontal="center"/>
    </xf>
    <xf numFmtId="0" fontId="20" fillId="7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73" fontId="30" fillId="0" borderId="0" xfId="0" applyNumberFormat="1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9" fontId="30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180" fontId="37" fillId="0" borderId="0" xfId="0" applyNumberFormat="1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8" fontId="30" fillId="0" borderId="0" xfId="0" applyNumberFormat="1" applyFont="1" applyFill="1" applyBorder="1" applyAlignment="1">
      <alignment wrapText="1"/>
    </xf>
    <xf numFmtId="8" fontId="30" fillId="0" borderId="0" xfId="0" applyNumberFormat="1" applyFont="1" applyFill="1" applyBorder="1" applyAlignment="1">
      <alignment horizontal="right" wrapText="1"/>
    </xf>
    <xf numFmtId="14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38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7" fillId="0" borderId="0" xfId="0" applyNumberFormat="1" applyFont="1" applyFill="1" applyBorder="1" applyAlignment="1">
      <alignment horizontal="center"/>
    </xf>
    <xf numFmtId="14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/>
    </xf>
    <xf numFmtId="0" fontId="33" fillId="7" borderId="4" xfId="0" applyFont="1" applyFill="1" applyBorder="1" applyAlignment="1">
      <alignment horizontal="center"/>
    </xf>
    <xf numFmtId="0" fontId="43" fillId="7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3" fillId="0" borderId="0" xfId="0" applyFont="1"/>
    <xf numFmtId="0" fontId="33" fillId="7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3" fillId="0" borderId="6" xfId="0" applyFont="1" applyBorder="1" applyAlignment="1">
      <alignment horizontal="center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3" fillId="0" borderId="0" xfId="0" applyFont="1" applyFill="1"/>
    <xf numFmtId="179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76" fontId="36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6" fontId="3" fillId="0" borderId="0" xfId="0" applyNumberFormat="1" applyFont="1" applyFill="1" applyBorder="1" applyAlignment="1">
      <alignment horizontal="center" wrapText="1"/>
    </xf>
    <xf numFmtId="178" fontId="3" fillId="0" borderId="0" xfId="0" applyNumberFormat="1" applyFont="1" applyFill="1" applyAlignment="1"/>
    <xf numFmtId="176" fontId="30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79" fontId="30" fillId="0" borderId="0" xfId="0" applyNumberFormat="1" applyFont="1" applyFill="1" applyAlignment="1">
      <alignment horizontal="center"/>
    </xf>
    <xf numFmtId="0" fontId="30" fillId="3" borderId="2" xfId="0" applyFont="1" applyFill="1" applyBorder="1" applyAlignment="1">
      <alignment horizontal="center"/>
    </xf>
    <xf numFmtId="176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vertical="center"/>
    </xf>
    <xf numFmtId="180" fontId="45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76" fontId="32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center"/>
    </xf>
    <xf numFmtId="179" fontId="3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Border="1" applyAlignment="1">
      <alignment horizontal="center"/>
    </xf>
    <xf numFmtId="0" fontId="32" fillId="0" borderId="0" xfId="0" applyFont="1" applyBorder="1"/>
    <xf numFmtId="176" fontId="39" fillId="0" borderId="0" xfId="0" applyNumberFormat="1" applyFont="1" applyAlignment="1">
      <alignment horizontal="center"/>
    </xf>
    <xf numFmtId="4" fontId="39" fillId="0" borderId="0" xfId="0" applyNumberFormat="1" applyFont="1" applyFill="1" applyAlignment="1">
      <alignment wrapText="1"/>
    </xf>
    <xf numFmtId="4" fontId="39" fillId="0" borderId="0" xfId="0" applyNumberFormat="1" applyFont="1" applyFill="1" applyAlignment="1">
      <alignment horizontal="center"/>
    </xf>
    <xf numFmtId="179" fontId="39" fillId="0" borderId="0" xfId="0" applyNumberFormat="1" applyFont="1" applyFill="1" applyAlignment="1">
      <alignment horizontal="center"/>
    </xf>
    <xf numFmtId="178" fontId="39" fillId="0" borderId="0" xfId="0" applyNumberFormat="1" applyFont="1" applyAlignment="1">
      <alignment horizontal="center"/>
    </xf>
    <xf numFmtId="0" fontId="38" fillId="0" borderId="0" xfId="0" applyFont="1" applyFill="1" applyAlignment="1">
      <alignment wrapText="1"/>
    </xf>
    <xf numFmtId="176" fontId="32" fillId="0" borderId="0" xfId="0" applyNumberFormat="1" applyFont="1" applyAlignment="1">
      <alignment horizontal="center"/>
    </xf>
    <xf numFmtId="4" fontId="30" fillId="0" borderId="0" xfId="0" applyNumberFormat="1" applyFont="1" applyFill="1" applyAlignment="1">
      <alignment wrapText="1"/>
    </xf>
    <xf numFmtId="178" fontId="32" fillId="0" borderId="0" xfId="0" applyNumberFormat="1" applyFont="1" applyAlignment="1">
      <alignment horizontal="center"/>
    </xf>
    <xf numFmtId="14" fontId="32" fillId="0" borderId="0" xfId="0" applyNumberFormat="1" applyFont="1" applyFill="1" applyBorder="1"/>
    <xf numFmtId="0" fontId="32" fillId="0" borderId="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/>
    </xf>
    <xf numFmtId="176" fontId="32" fillId="0" borderId="0" xfId="0" applyNumberFormat="1" applyFont="1" applyBorder="1" applyAlignment="1">
      <alignment horizontal="center"/>
    </xf>
    <xf numFmtId="178" fontId="3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center"/>
    </xf>
    <xf numFmtId="14" fontId="39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6" fontId="39" fillId="0" borderId="0" xfId="0" applyNumberFormat="1" applyFont="1" applyBorder="1" applyAlignment="1">
      <alignment horizontal="center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4" fontId="39" fillId="0" borderId="0" xfId="0" applyNumberFormat="1" applyFont="1" applyFill="1" applyBorder="1" applyAlignment="1">
      <alignment horizontal="center"/>
    </xf>
    <xf numFmtId="17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176" fontId="39" fillId="0" borderId="0" xfId="0" applyNumberFormat="1" applyFont="1" applyFill="1" applyAlignment="1">
      <alignment horizontal="center"/>
    </xf>
    <xf numFmtId="180" fontId="46" fillId="0" borderId="0" xfId="0" applyNumberFormat="1" applyFont="1" applyFill="1" applyAlignment="1">
      <alignment horizontal="center"/>
    </xf>
    <xf numFmtId="178" fontId="39" fillId="0" borderId="0" xfId="0" applyNumberFormat="1" applyFont="1" applyFill="1" applyAlignment="1">
      <alignment horizontal="center"/>
    </xf>
    <xf numFmtId="0" fontId="30" fillId="3" borderId="1" xfId="0" applyFont="1" applyFill="1" applyBorder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6" fontId="39" fillId="4" borderId="0" xfId="0" applyNumberFormat="1" applyFont="1" applyFill="1" applyAlignment="1">
      <alignment horizontal="center"/>
    </xf>
    <xf numFmtId="4" fontId="39" fillId="4" borderId="0" xfId="0" applyNumberFormat="1" applyFont="1" applyFill="1" applyAlignment="1">
      <alignment horizontal="center"/>
    </xf>
    <xf numFmtId="179" fontId="39" fillId="4" borderId="0" xfId="0" applyNumberFormat="1" applyFont="1" applyFill="1" applyAlignment="1">
      <alignment horizontal="center"/>
    </xf>
    <xf numFmtId="178" fontId="39" fillId="4" borderId="0" xfId="0" applyNumberFormat="1" applyFont="1" applyFill="1" applyAlignment="1">
      <alignment horizontal="center"/>
    </xf>
    <xf numFmtId="0" fontId="30" fillId="2" borderId="2" xfId="0" applyFont="1" applyFill="1" applyBorder="1" applyAlignment="1">
      <alignment horizontal="center"/>
    </xf>
    <xf numFmtId="176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0" fontId="30" fillId="7" borderId="4" xfId="0" applyFont="1" applyFill="1" applyBorder="1" applyAlignment="1">
      <alignment horizontal="center"/>
    </xf>
    <xf numFmtId="176" fontId="3" fillId="7" borderId="4" xfId="0" applyNumberFormat="1" applyFont="1" applyFill="1" applyBorder="1" applyAlignment="1">
      <alignment horizontal="center"/>
    </xf>
    <xf numFmtId="4" fontId="3" fillId="7" borderId="4" xfId="0" applyNumberFormat="1" applyFont="1" applyFill="1" applyBorder="1" applyAlignment="1">
      <alignment horizontal="center"/>
    </xf>
    <xf numFmtId="14" fontId="3" fillId="7" borderId="4" xfId="0" applyNumberFormat="1" applyFont="1" applyFill="1" applyBorder="1" applyAlignment="1">
      <alignment horizontal="center"/>
    </xf>
    <xf numFmtId="179" fontId="3" fillId="7" borderId="4" xfId="0" applyNumberFormat="1" applyFont="1" applyFill="1" applyBorder="1" applyAlignment="1">
      <alignment horizontal="center"/>
    </xf>
    <xf numFmtId="178" fontId="3" fillId="7" borderId="4" xfId="0" applyNumberFormat="1" applyFont="1" applyFill="1" applyBorder="1" applyAlignment="1">
      <alignment horizontal="center"/>
    </xf>
    <xf numFmtId="0" fontId="39" fillId="7" borderId="4" xfId="0" applyFont="1" applyFill="1" applyBorder="1" applyAlignment="1">
      <alignment horizontal="center"/>
    </xf>
    <xf numFmtId="1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 applyAlignment="1">
      <alignment horizontal="center"/>
    </xf>
    <xf numFmtId="176" fontId="32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wrapText="1"/>
    </xf>
    <xf numFmtId="0" fontId="30" fillId="7" borderId="4" xfId="0" applyFont="1" applyFill="1" applyBorder="1" applyAlignment="1">
      <alignment wrapText="1"/>
    </xf>
    <xf numFmtId="14" fontId="30" fillId="7" borderId="4" xfId="0" applyNumberFormat="1" applyFont="1" applyFill="1" applyBorder="1" applyAlignment="1">
      <alignment horizontal="center"/>
    </xf>
    <xf numFmtId="4" fontId="30" fillId="7" borderId="4" xfId="0" applyNumberFormat="1" applyFont="1" applyFill="1" applyBorder="1" applyAlignment="1">
      <alignment horizontal="center"/>
    </xf>
    <xf numFmtId="179" fontId="30" fillId="7" borderId="4" xfId="0" applyNumberFormat="1" applyFont="1" applyFill="1" applyBorder="1" applyAlignment="1">
      <alignment horizontal="center"/>
    </xf>
    <xf numFmtId="178" fontId="32" fillId="7" borderId="4" xfId="0" applyNumberFormat="1" applyFont="1" applyFill="1" applyBorder="1" applyAlignment="1">
      <alignment horizontal="center"/>
    </xf>
    <xf numFmtId="0" fontId="38" fillId="7" borderId="4" xfId="0" applyFont="1" applyFill="1" applyBorder="1" applyAlignment="1">
      <alignment wrapText="1"/>
    </xf>
    <xf numFmtId="14" fontId="39" fillId="7" borderId="4" xfId="0" applyNumberFormat="1" applyFont="1" applyFill="1" applyBorder="1" applyAlignment="1">
      <alignment horizontal="center"/>
    </xf>
    <xf numFmtId="176" fontId="39" fillId="7" borderId="4" xfId="0" applyNumberFormat="1" applyFont="1" applyFill="1" applyBorder="1" applyAlignment="1">
      <alignment horizontal="center"/>
    </xf>
    <xf numFmtId="4" fontId="39" fillId="7" borderId="4" xfId="0" applyNumberFormat="1" applyFont="1" applyFill="1" applyBorder="1" applyAlignment="1">
      <alignment wrapText="1"/>
    </xf>
    <xf numFmtId="0" fontId="39" fillId="7" borderId="4" xfId="0" applyFont="1" applyFill="1" applyBorder="1" applyAlignment="1">
      <alignment wrapText="1"/>
    </xf>
    <xf numFmtId="4" fontId="39" fillId="7" borderId="4" xfId="0" applyNumberFormat="1" applyFont="1" applyFill="1" applyBorder="1" applyAlignment="1">
      <alignment horizontal="center"/>
    </xf>
    <xf numFmtId="178" fontId="39" fillId="7" borderId="4" xfId="0" applyNumberFormat="1" applyFont="1" applyFill="1" applyBorder="1" applyAlignment="1">
      <alignment horizontal="center"/>
    </xf>
    <xf numFmtId="179" fontId="39" fillId="7" borderId="4" xfId="0" applyNumberFormat="1" applyFont="1" applyFill="1" applyBorder="1" applyAlignment="1">
      <alignment horizontal="center"/>
    </xf>
    <xf numFmtId="165" fontId="39" fillId="7" borderId="4" xfId="0" applyNumberFormat="1" applyFont="1" applyFill="1" applyBorder="1" applyAlignment="1">
      <alignment horizontal="center"/>
    </xf>
    <xf numFmtId="0" fontId="32" fillId="7" borderId="4" xfId="0" applyNumberFormat="1" applyFont="1" applyFill="1" applyBorder="1" applyAlignment="1">
      <alignment horizontal="center"/>
    </xf>
    <xf numFmtId="0" fontId="47" fillId="7" borderId="4" xfId="0" applyFont="1" applyFill="1" applyBorder="1" applyAlignment="1">
      <alignment horizontal="center"/>
    </xf>
    <xf numFmtId="168" fontId="30" fillId="7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wrapText="1"/>
    </xf>
    <xf numFmtId="14" fontId="37" fillId="7" borderId="4" xfId="0" applyNumberFormat="1" applyFont="1" applyFill="1" applyBorder="1" applyAlignment="1">
      <alignment horizontal="center"/>
    </xf>
    <xf numFmtId="180" fontId="37" fillId="7" borderId="4" xfId="0" applyNumberFormat="1" applyFont="1" applyFill="1" applyBorder="1" applyAlignment="1">
      <alignment horizontal="center"/>
    </xf>
    <xf numFmtId="0" fontId="30" fillId="7" borderId="4" xfId="0" applyNumberFormat="1" applyFont="1" applyFill="1" applyBorder="1" applyAlignment="1">
      <alignment horizontal="center"/>
    </xf>
    <xf numFmtId="176" fontId="30" fillId="7" borderId="4" xfId="0" applyNumberFormat="1" applyFont="1" applyFill="1" applyBorder="1" applyAlignment="1">
      <alignment horizontal="center"/>
    </xf>
    <xf numFmtId="14" fontId="32" fillId="7" borderId="4" xfId="0" applyNumberFormat="1" applyFont="1" applyFill="1" applyBorder="1"/>
    <xf numFmtId="14" fontId="30" fillId="7" borderId="4" xfId="0" applyNumberFormat="1" applyFont="1" applyFill="1" applyBorder="1"/>
    <xf numFmtId="0" fontId="48" fillId="7" borderId="4" xfId="0" applyFont="1" applyFill="1" applyBorder="1" applyAlignment="1">
      <alignment horizontal="center"/>
    </xf>
    <xf numFmtId="14" fontId="48" fillId="7" borderId="4" xfId="0" applyNumberFormat="1" applyFont="1" applyFill="1" applyBorder="1"/>
    <xf numFmtId="0" fontId="48" fillId="7" borderId="4" xfId="0" applyNumberFormat="1" applyFont="1" applyFill="1" applyBorder="1" applyAlignment="1">
      <alignment horizontal="center"/>
    </xf>
    <xf numFmtId="176" fontId="48" fillId="7" borderId="4" xfId="0" applyNumberFormat="1" applyFont="1" applyFill="1" applyBorder="1" applyAlignment="1">
      <alignment horizontal="center"/>
    </xf>
    <xf numFmtId="0" fontId="43" fillId="7" borderId="4" xfId="0" applyFont="1" applyFill="1" applyBorder="1" applyAlignment="1">
      <alignment wrapText="1"/>
    </xf>
    <xf numFmtId="0" fontId="32" fillId="7" borderId="4" xfId="0" applyNumberFormat="1" applyFont="1" applyFill="1" applyBorder="1" applyAlignment="1"/>
    <xf numFmtId="4" fontId="32" fillId="7" borderId="4" xfId="0" applyNumberFormat="1" applyFont="1" applyFill="1" applyBorder="1" applyAlignment="1">
      <alignment horizontal="center"/>
    </xf>
    <xf numFmtId="0" fontId="32" fillId="7" borderId="4" xfId="0" applyFont="1" applyFill="1" applyBorder="1"/>
    <xf numFmtId="0" fontId="30" fillId="7" borderId="4" xfId="0" applyNumberFormat="1" applyFont="1" applyFill="1" applyBorder="1" applyAlignment="1"/>
    <xf numFmtId="0" fontId="30" fillId="0" borderId="4" xfId="0" applyFont="1" applyFill="1" applyBorder="1" applyAlignment="1">
      <alignment horizontal="center"/>
    </xf>
    <xf numFmtId="14" fontId="32" fillId="0" borderId="4" xfId="0" applyNumberFormat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176" fontId="32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wrapText="1"/>
    </xf>
    <xf numFmtId="0" fontId="30" fillId="0" borderId="4" xfId="0" applyFont="1" applyFill="1" applyBorder="1" applyAlignment="1">
      <alignment wrapText="1"/>
    </xf>
    <xf numFmtId="14" fontId="37" fillId="0" borderId="4" xfId="0" applyNumberFormat="1" applyFont="1" applyFill="1" applyBorder="1" applyAlignment="1">
      <alignment horizontal="center"/>
    </xf>
    <xf numFmtId="4" fontId="30" fillId="0" borderId="4" xfId="0" applyNumberFormat="1" applyFont="1" applyFill="1" applyBorder="1" applyAlignment="1">
      <alignment horizontal="center"/>
    </xf>
    <xf numFmtId="179" fontId="30" fillId="0" borderId="4" xfId="0" applyNumberFormat="1" applyFont="1" applyFill="1" applyBorder="1" applyAlignment="1">
      <alignment horizontal="center"/>
    </xf>
    <xf numFmtId="178" fontId="32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14" fontId="10" fillId="7" borderId="4" xfId="0" applyNumberFormat="1" applyFont="1" applyFill="1" applyBorder="1" applyAlignment="1">
      <alignment horizontal="center"/>
    </xf>
    <xf numFmtId="178" fontId="30" fillId="7" borderId="4" xfId="0" applyNumberFormat="1" applyFont="1" applyFill="1" applyBorder="1" applyAlignment="1">
      <alignment horizontal="center"/>
    </xf>
    <xf numFmtId="167" fontId="39" fillId="7" borderId="4" xfId="0" applyNumberFormat="1" applyFont="1" applyFill="1" applyBorder="1" applyAlignment="1">
      <alignment horizontal="center"/>
    </xf>
    <xf numFmtId="14" fontId="40" fillId="7" borderId="4" xfId="0" applyNumberFormat="1" applyFont="1" applyFill="1" applyBorder="1" applyAlignment="1">
      <alignment horizontal="center"/>
    </xf>
    <xf numFmtId="0" fontId="49" fillId="7" borderId="4" xfId="0" applyFont="1" applyFill="1" applyBorder="1" applyAlignment="1">
      <alignment horizontal="center"/>
    </xf>
    <xf numFmtId="0" fontId="30" fillId="2" borderId="5" xfId="0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178" fontId="3" fillId="2" borderId="5" xfId="0" applyNumberFormat="1" applyFont="1" applyFill="1" applyBorder="1" applyAlignment="1">
      <alignment horizontal="center"/>
    </xf>
    <xf numFmtId="178" fontId="30" fillId="0" borderId="0" xfId="0" applyNumberFormat="1" applyFont="1" applyFill="1" applyAlignment="1">
      <alignment horizontal="center"/>
    </xf>
    <xf numFmtId="17" fontId="30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30" fillId="0" borderId="0" xfId="0" applyFont="1" applyFill="1" applyAlignment="1"/>
    <xf numFmtId="174" fontId="30" fillId="0" borderId="0" xfId="0" applyNumberFormat="1" applyFont="1" applyFill="1" applyAlignment="1">
      <alignment horizontal="center"/>
    </xf>
    <xf numFmtId="40" fontId="30" fillId="0" borderId="0" xfId="0" applyNumberFormat="1" applyFont="1" applyFill="1" applyAlignment="1">
      <alignment horizontal="center"/>
    </xf>
    <xf numFmtId="173" fontId="30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174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78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80" fontId="37" fillId="0" borderId="0" xfId="0" applyNumberFormat="1" applyFont="1" applyFill="1" applyAlignment="1">
      <alignment horizontal="center"/>
    </xf>
    <xf numFmtId="17" fontId="44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68" fontId="51" fillId="0" borderId="0" xfId="0" applyNumberFormat="1" applyFont="1" applyFill="1" applyAlignment="1">
      <alignment horizontal="center"/>
    </xf>
    <xf numFmtId="180" fontId="51" fillId="0" borderId="0" xfId="0" applyNumberFormat="1" applyFont="1" applyFill="1" applyAlignment="1">
      <alignment horizontal="center"/>
    </xf>
    <xf numFmtId="174" fontId="51" fillId="0" borderId="0" xfId="0" applyNumberFormat="1" applyFont="1" applyFill="1" applyAlignment="1">
      <alignment horizontal="center"/>
    </xf>
    <xf numFmtId="169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Alignment="1">
      <alignment horizontal="center"/>
    </xf>
    <xf numFmtId="178" fontId="51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173" fontId="38" fillId="0" borderId="0" xfId="0" applyNumberFormat="1" applyFont="1" applyFill="1" applyAlignment="1">
      <alignment horizontal="center"/>
    </xf>
    <xf numFmtId="168" fontId="39" fillId="0" borderId="0" xfId="0" applyNumberFormat="1" applyFont="1" applyFill="1" applyAlignment="1">
      <alignment horizontal="center"/>
    </xf>
    <xf numFmtId="174" fontId="39" fillId="0" borderId="0" xfId="0" applyNumberFormat="1" applyFont="1" applyFill="1" applyAlignment="1">
      <alignment horizontal="center"/>
    </xf>
    <xf numFmtId="40" fontId="39" fillId="0" borderId="0" xfId="0" applyNumberFormat="1" applyFont="1" applyFill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7" fontId="39" fillId="0" borderId="0" xfId="0" applyNumberFormat="1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4" fontId="39" fillId="4" borderId="0" xfId="0" applyNumberFormat="1" applyFont="1" applyFill="1" applyAlignment="1">
      <alignment horizontal="center"/>
    </xf>
    <xf numFmtId="40" fontId="39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/>
    <xf numFmtId="180" fontId="30" fillId="0" borderId="0" xfId="0" applyNumberFormat="1" applyFont="1" applyFill="1" applyAlignment="1">
      <alignment horizontal="center"/>
    </xf>
    <xf numFmtId="180" fontId="39" fillId="0" borderId="0" xfId="0" applyNumberFormat="1" applyFont="1" applyFill="1" applyAlignment="1">
      <alignment horizontal="center"/>
    </xf>
    <xf numFmtId="174" fontId="32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0" fontId="3" fillId="0" borderId="0" xfId="0" applyNumberFormat="1" applyFont="1" applyFill="1" applyBorder="1" applyAlignment="1">
      <alignment horizontal="right"/>
    </xf>
    <xf numFmtId="4" fontId="51" fillId="0" borderId="0" xfId="0" applyNumberFormat="1" applyFont="1" applyFill="1" applyAlignment="1">
      <alignment horizontal="center"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 horizontal="right" wrapText="1"/>
    </xf>
    <xf numFmtId="8" fontId="3" fillId="0" borderId="0" xfId="0" applyNumberFormat="1" applyFont="1" applyFill="1" applyAlignment="1"/>
    <xf numFmtId="8" fontId="39" fillId="0" borderId="0" xfId="0" applyNumberFormat="1" applyFont="1" applyFill="1" applyBorder="1" applyAlignment="1">
      <alignment wrapText="1"/>
    </xf>
    <xf numFmtId="8" fontId="3" fillId="7" borderId="4" xfId="0" applyNumberFormat="1" applyFont="1" applyFill="1" applyBorder="1" applyAlignment="1">
      <alignment horizontal="center"/>
    </xf>
    <xf numFmtId="8" fontId="39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right" wrapText="1"/>
    </xf>
    <xf numFmtId="8" fontId="39" fillId="7" borderId="4" xfId="0" applyNumberFormat="1" applyFont="1" applyFill="1" applyBorder="1" applyAlignment="1">
      <alignment horizontal="right" wrapText="1"/>
    </xf>
    <xf numFmtId="8" fontId="30" fillId="7" borderId="4" xfId="0" applyNumberFormat="1" applyFont="1" applyFill="1" applyBorder="1" applyAlignment="1">
      <alignment horizontal="center" wrapText="1"/>
    </xf>
    <xf numFmtId="8" fontId="30" fillId="0" borderId="4" xfId="0" applyNumberFormat="1" applyFont="1" applyFill="1" applyBorder="1" applyAlignment="1">
      <alignment wrapText="1"/>
    </xf>
    <xf numFmtId="8" fontId="30" fillId="7" borderId="4" xfId="0" applyNumberFormat="1" applyFont="1" applyFill="1" applyBorder="1" applyAlignment="1">
      <alignment horizontal="center"/>
    </xf>
    <xf numFmtId="8" fontId="49" fillId="7" borderId="4" xfId="0" applyNumberFormat="1" applyFont="1" applyFill="1" applyBorder="1" applyAlignment="1">
      <alignment horizontal="center"/>
    </xf>
    <xf numFmtId="8" fontId="50" fillId="0" borderId="5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73" fontId="37" fillId="0" borderId="0" xfId="0" applyNumberFormat="1" applyFont="1" applyFill="1" applyAlignment="1">
      <alignment horizontal="center"/>
    </xf>
    <xf numFmtId="181" fontId="30" fillId="0" borderId="0" xfId="0" applyNumberFormat="1" applyFont="1" applyFill="1" applyAlignment="1">
      <alignment horizontal="center"/>
    </xf>
    <xf numFmtId="168" fontId="30" fillId="0" borderId="0" xfId="0" applyNumberFormat="1" applyFont="1" applyFill="1" applyAlignment="1">
      <alignment horizontal="right"/>
    </xf>
    <xf numFmtId="174" fontId="38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17" fontId="38" fillId="5" borderId="0" xfId="0" applyNumberFormat="1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174" fontId="38" fillId="5" borderId="0" xfId="0" applyNumberFormat="1" applyFont="1" applyFill="1" applyAlignment="1">
      <alignment horizontal="center"/>
    </xf>
    <xf numFmtId="168" fontId="39" fillId="5" borderId="0" xfId="0" applyNumberFormat="1" applyFont="1" applyFill="1" applyAlignment="1">
      <alignment horizontal="center"/>
    </xf>
    <xf numFmtId="174" fontId="39" fillId="5" borderId="0" xfId="0" applyNumberFormat="1" applyFont="1" applyFill="1" applyAlignment="1">
      <alignment horizontal="center"/>
    </xf>
    <xf numFmtId="181" fontId="30" fillId="5" borderId="0" xfId="0" applyNumberFormat="1" applyFont="1" applyFill="1" applyAlignment="1">
      <alignment horizontal="center"/>
    </xf>
    <xf numFmtId="169" fontId="51" fillId="5" borderId="0" xfId="0" applyNumberFormat="1" applyFont="1" applyFill="1" applyAlignment="1">
      <alignment horizontal="center"/>
    </xf>
    <xf numFmtId="40" fontId="39" fillId="5" borderId="0" xfId="0" applyNumberFormat="1" applyFont="1" applyFill="1" applyAlignment="1">
      <alignment horizontal="center"/>
    </xf>
    <xf numFmtId="178" fontId="39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4" fontId="3" fillId="5" borderId="0" xfId="0" applyNumberFormat="1" applyFont="1" applyFill="1" applyAlignment="1">
      <alignment horizontal="center"/>
    </xf>
    <xf numFmtId="168" fontId="30" fillId="5" borderId="0" xfId="0" applyNumberFormat="1" applyFont="1" applyFill="1" applyAlignment="1">
      <alignment horizontal="center"/>
    </xf>
    <xf numFmtId="174" fontId="30" fillId="5" borderId="0" xfId="0" applyNumberFormat="1" applyFont="1" applyFill="1" applyAlignment="1">
      <alignment horizontal="center"/>
    </xf>
    <xf numFmtId="169" fontId="30" fillId="5" borderId="0" xfId="0" applyNumberFormat="1" applyFont="1" applyFill="1" applyAlignment="1">
      <alignment horizontal="center"/>
    </xf>
    <xf numFmtId="40" fontId="30" fillId="5" borderId="0" xfId="0" applyNumberFormat="1" applyFont="1" applyFill="1" applyAlignment="1">
      <alignment horizontal="center"/>
    </xf>
    <xf numFmtId="178" fontId="30" fillId="5" borderId="0" xfId="0" applyNumberFormat="1" applyFont="1" applyFill="1" applyAlignment="1">
      <alignment horizontal="center"/>
    </xf>
    <xf numFmtId="17" fontId="38" fillId="6" borderId="0" xfId="0" applyNumberFormat="1" applyFont="1" applyFill="1" applyAlignment="1">
      <alignment horizontal="center"/>
    </xf>
    <xf numFmtId="14" fontId="38" fillId="6" borderId="0" xfId="0" applyNumberFormat="1" applyFont="1" applyFill="1" applyAlignment="1">
      <alignment horizontal="center"/>
    </xf>
    <xf numFmtId="174" fontId="38" fillId="6" borderId="0" xfId="0" applyNumberFormat="1" applyFont="1" applyFill="1" applyAlignment="1">
      <alignment horizontal="center"/>
    </xf>
    <xf numFmtId="168" fontId="39" fillId="6" borderId="0" xfId="0" applyNumberFormat="1" applyFont="1" applyFill="1" applyAlignment="1">
      <alignment horizontal="center"/>
    </xf>
    <xf numFmtId="14" fontId="30" fillId="6" borderId="0" xfId="0" applyNumberFormat="1" applyFont="1" applyFill="1" applyAlignment="1">
      <alignment horizontal="center"/>
    </xf>
    <xf numFmtId="174" fontId="39" fillId="6" borderId="0" xfId="0" applyNumberFormat="1" applyFont="1" applyFill="1" applyAlignment="1">
      <alignment horizontal="center"/>
    </xf>
    <xf numFmtId="181" fontId="30" fillId="6" borderId="0" xfId="0" applyNumberFormat="1" applyFont="1" applyFill="1" applyAlignment="1">
      <alignment horizontal="center"/>
    </xf>
    <xf numFmtId="169" fontId="51" fillId="6" borderId="0" xfId="0" applyNumberFormat="1" applyFont="1" applyFill="1" applyAlignment="1">
      <alignment horizontal="center"/>
    </xf>
    <xf numFmtId="40" fontId="39" fillId="6" borderId="0" xfId="0" applyNumberFormat="1" applyFont="1" applyFill="1" applyAlignment="1">
      <alignment horizontal="center"/>
    </xf>
    <xf numFmtId="178" fontId="39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right"/>
    </xf>
    <xf numFmtId="17" fontId="3" fillId="6" borderId="0" xfId="0" applyNumberFormat="1" applyFont="1" applyFill="1" applyAlignment="1">
      <alignment horizontal="center"/>
    </xf>
    <xf numFmtId="14" fontId="3" fillId="6" borderId="0" xfId="0" applyNumberFormat="1" applyFont="1" applyFill="1" applyAlignment="1">
      <alignment horizontal="center"/>
    </xf>
    <xf numFmtId="174" fontId="3" fillId="6" borderId="0" xfId="0" applyNumberFormat="1" applyFont="1" applyFill="1" applyAlignment="1">
      <alignment horizontal="center"/>
    </xf>
    <xf numFmtId="168" fontId="30" fillId="6" borderId="0" xfId="0" applyNumberFormat="1" applyFont="1" applyFill="1" applyAlignment="1">
      <alignment horizontal="center"/>
    </xf>
    <xf numFmtId="174" fontId="30" fillId="6" borderId="0" xfId="0" applyNumberFormat="1" applyFont="1" applyFill="1" applyAlignment="1">
      <alignment horizontal="center"/>
    </xf>
    <xf numFmtId="169" fontId="30" fillId="6" borderId="0" xfId="0" applyNumberFormat="1" applyFont="1" applyFill="1" applyAlignment="1">
      <alignment horizontal="center"/>
    </xf>
    <xf numFmtId="40" fontId="30" fillId="6" borderId="0" xfId="0" applyNumberFormat="1" applyFont="1" applyFill="1" applyAlignment="1">
      <alignment horizontal="center"/>
    </xf>
    <xf numFmtId="178" fontId="30" fillId="6" borderId="0" xfId="0" applyNumberFormat="1" applyFont="1" applyFill="1" applyAlignment="1">
      <alignment horizontal="center"/>
    </xf>
    <xf numFmtId="14" fontId="37" fillId="6" borderId="0" xfId="0" applyNumberFormat="1" applyFont="1" applyFill="1" applyAlignment="1">
      <alignment horizontal="center"/>
    </xf>
    <xf numFmtId="14" fontId="37" fillId="0" borderId="0" xfId="1" applyNumberFormat="1" applyFont="1" applyFill="1" applyAlignment="1">
      <alignment horizontal="center"/>
    </xf>
    <xf numFmtId="1" fontId="38" fillId="0" borderId="0" xfId="0" applyNumberFormat="1" applyFont="1" applyFill="1" applyAlignment="1">
      <alignment horizontal="center"/>
    </xf>
    <xf numFmtId="183" fontId="39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68" fontId="39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/>
    <xf numFmtId="173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/>
    </xf>
    <xf numFmtId="173" fontId="3" fillId="3" borderId="2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Alignment="1">
      <alignment horizontal="center"/>
    </xf>
    <xf numFmtId="173" fontId="18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8" fillId="0" borderId="0" xfId="0" applyNumberFormat="1" applyFont="1" applyFill="1" applyAlignment="1">
      <alignment horizontal="center"/>
    </xf>
    <xf numFmtId="173" fontId="5" fillId="0" borderId="0" xfId="0" applyNumberFormat="1" applyFont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80" fontId="30" fillId="0" borderId="0" xfId="0" applyNumberFormat="1" applyFont="1" applyFill="1" applyAlignment="1"/>
    <xf numFmtId="180" fontId="3" fillId="0" borderId="0" xfId="0" applyNumberFormat="1" applyFont="1" applyFill="1" applyBorder="1" applyAlignment="1">
      <alignment horizontal="left" wrapText="1"/>
    </xf>
    <xf numFmtId="180" fontId="3" fillId="3" borderId="2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9" fillId="4" borderId="0" xfId="0" applyNumberFormat="1" applyFont="1" applyFill="1" applyAlignment="1">
      <alignment horizontal="center"/>
    </xf>
    <xf numFmtId="180" fontId="3" fillId="2" borderId="2" xfId="0" applyNumberFormat="1" applyFont="1" applyFill="1" applyBorder="1" applyAlignment="1"/>
    <xf numFmtId="180" fontId="39" fillId="0" borderId="3" xfId="0" applyNumberFormat="1" applyFont="1" applyFill="1" applyBorder="1" applyAlignment="1">
      <alignment horizontal="center"/>
    </xf>
    <xf numFmtId="180" fontId="39" fillId="7" borderId="0" xfId="0" applyNumberFormat="1" applyFont="1" applyFill="1" applyAlignment="1">
      <alignment horizontal="center"/>
    </xf>
    <xf numFmtId="164" fontId="35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971319137734158"/>
          <c:y val="0.13119602036924868"/>
          <c:w val="0.867521835194349"/>
          <c:h val="0.7945267269356035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5052386616978441E-2"/>
                  <c:y val="-0.3530051371783655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263848005471761E-3"/>
                  <c:y val="-9.817064324246006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934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682585026962889E-3"/>
                  <c:y val="-0.1038411915378046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504E-3"/>
                  <c:y val="4.572055095677192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689495.78277422348</c:v>
                </c:pt>
                <c:pt idx="2">
                  <c:v>121826.64696961273</c:v>
                </c:pt>
                <c:pt idx="4">
                  <c:v>50713.592782224005</c:v>
                </c:pt>
                <c:pt idx="6">
                  <c:v>276806.61100000021</c:v>
                </c:pt>
                <c:pt idx="8">
                  <c:v>136831.15769970906</c:v>
                </c:pt>
                <c:pt idx="10">
                  <c:v>129475.83458349113</c:v>
                </c:pt>
                <c:pt idx="12">
                  <c:v>-26158.060260813734</c:v>
                </c:pt>
              </c:numCache>
            </c:numRef>
          </c:val>
        </c:ser>
        <c:gapWidth val="50"/>
        <c:axId val="91772416"/>
        <c:axId val="91773952"/>
      </c:barChart>
      <c:catAx>
        <c:axId val="917724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91773952"/>
        <c:crosses val="autoZero"/>
        <c:auto val="1"/>
        <c:lblAlgn val="ctr"/>
        <c:lblOffset val="100"/>
      </c:catAx>
      <c:valAx>
        <c:axId val="91773952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177241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 </a:t>
          </a:r>
          <a:r>
            <a:rPr lang="en-AU" sz="1600" b="1" baseline="0"/>
            <a:t>to Present - Based on a Starting Balance - USD$30,000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5"/>
  <sheetViews>
    <sheetView tabSelected="1" topLeftCell="A7" zoomScale="70" zoomScaleNormal="70" workbookViewId="0">
      <selection activeCell="Q40" sqref="Q40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23"/>
    </row>
    <row r="2" spans="2:13">
      <c r="L2" s="65" t="s">
        <v>991</v>
      </c>
    </row>
    <row r="3" spans="2:13">
      <c r="B3" t="s">
        <v>474</v>
      </c>
      <c r="C3" s="64">
        <f>SUM(C5:C16)</f>
        <v>689495.78277422348</v>
      </c>
    </row>
    <row r="4" spans="2:13">
      <c r="C4" s="64"/>
      <c r="L4" t="s">
        <v>992</v>
      </c>
      <c r="M4" s="377">
        <v>40469</v>
      </c>
    </row>
    <row r="5" spans="2:13">
      <c r="B5" t="s">
        <v>881</v>
      </c>
      <c r="C5" s="64">
        <f>SUM('FUTURES WKLY'!A4)</f>
        <v>121826.64696961273</v>
      </c>
      <c r="L5" t="s">
        <v>993</v>
      </c>
      <c r="M5" s="377">
        <v>40469</v>
      </c>
    </row>
    <row r="6" spans="2:13">
      <c r="C6" s="64"/>
      <c r="L6" t="s">
        <v>994</v>
      </c>
      <c r="M6" s="313">
        <v>40786</v>
      </c>
    </row>
    <row r="7" spans="2:13">
      <c r="B7" t="s">
        <v>990</v>
      </c>
      <c r="C7" s="64">
        <f>SUM('ASX WKLY'!A4)</f>
        <v>50713.592782224005</v>
      </c>
      <c r="L7" t="s">
        <v>995</v>
      </c>
      <c r="M7" s="313">
        <v>40830</v>
      </c>
    </row>
    <row r="8" spans="2:13">
      <c r="C8" s="64"/>
      <c r="L8" t="s">
        <v>880</v>
      </c>
      <c r="M8" s="377">
        <v>41302</v>
      </c>
    </row>
    <row r="9" spans="2:13">
      <c r="B9" t="s">
        <v>882</v>
      </c>
      <c r="C9" s="64">
        <f>SUM('S&amp;P500 WKLY '!A4)</f>
        <v>276806.61100000021</v>
      </c>
      <c r="L9" t="s">
        <v>1039</v>
      </c>
      <c r="M9" s="377">
        <v>41324</v>
      </c>
    </row>
    <row r="10" spans="2:13">
      <c r="C10" s="64"/>
    </row>
    <row r="11" spans="2:13">
      <c r="B11" t="s">
        <v>883</v>
      </c>
      <c r="C11" s="64">
        <f>SUM('LSE WKLY'!A4)</f>
        <v>136831.15769970906</v>
      </c>
    </row>
    <row r="12" spans="2:13">
      <c r="C12" s="64"/>
      <c r="L12" t="s">
        <v>941</v>
      </c>
    </row>
    <row r="13" spans="2:13">
      <c r="B13" t="s">
        <v>880</v>
      </c>
      <c r="C13" s="64">
        <f>SUM('Futures Daily'!A4)</f>
        <v>129475.83458349113</v>
      </c>
    </row>
    <row r="14" spans="2:13">
      <c r="C14" s="64"/>
      <c r="L14" t="s">
        <v>10</v>
      </c>
      <c r="M14" t="s">
        <v>942</v>
      </c>
    </row>
    <row r="15" spans="2:13">
      <c r="B15" t="s">
        <v>906</v>
      </c>
      <c r="C15" s="64">
        <f>SUM('Forex Daily'!A4)</f>
        <v>-26158.060260813734</v>
      </c>
    </row>
    <row r="16" spans="2:13">
      <c r="L16" s="65" t="s">
        <v>6</v>
      </c>
      <c r="M16" t="s">
        <v>943</v>
      </c>
    </row>
    <row r="17" spans="1:43">
      <c r="L17" s="316" t="s">
        <v>6</v>
      </c>
      <c r="M17" s="317" t="s">
        <v>944</v>
      </c>
      <c r="N17" s="317"/>
      <c r="O17" s="317"/>
      <c r="P17" s="317"/>
    </row>
    <row r="18" spans="1:43">
      <c r="L18" s="316" t="s">
        <v>6</v>
      </c>
      <c r="M18" s="317" t="s">
        <v>1144</v>
      </c>
      <c r="N18" s="317"/>
      <c r="O18" s="317"/>
      <c r="P18" s="317"/>
    </row>
    <row r="19" spans="1:43" s="322" customFormat="1">
      <c r="A19" s="64"/>
      <c r="L19" s="316" t="s">
        <v>6</v>
      </c>
      <c r="M19" s="317" t="s">
        <v>1469</v>
      </c>
      <c r="N19" s="317"/>
      <c r="O19" s="317"/>
      <c r="P19" s="317"/>
    </row>
    <row r="20" spans="1:43" s="322" customFormat="1">
      <c r="A20" s="64"/>
      <c r="L20" s="316" t="s">
        <v>6</v>
      </c>
      <c r="M20" s="317" t="s">
        <v>1622</v>
      </c>
      <c r="N20" s="317"/>
      <c r="O20" s="317"/>
      <c r="P20" s="317"/>
    </row>
    <row r="21" spans="1:43" s="322" customFormat="1">
      <c r="A21" s="64"/>
      <c r="L21" s="316"/>
      <c r="M21" s="317"/>
      <c r="N21" s="317"/>
      <c r="O21" s="317"/>
      <c r="P21" s="317"/>
    </row>
    <row r="22" spans="1:43">
      <c r="L22" s="316" t="s">
        <v>945</v>
      </c>
      <c r="M22" s="317" t="s">
        <v>946</v>
      </c>
      <c r="N22" s="317"/>
      <c r="O22" s="317"/>
      <c r="P22" s="317"/>
    </row>
    <row r="23" spans="1:43">
      <c r="L23" s="316" t="s">
        <v>945</v>
      </c>
      <c r="M23" s="317" t="s">
        <v>947</v>
      </c>
      <c r="N23" s="317"/>
      <c r="O23" s="317"/>
      <c r="P23" s="317"/>
    </row>
    <row r="24" spans="1:43">
      <c r="L24" s="316" t="s">
        <v>945</v>
      </c>
      <c r="M24" s="317" t="s">
        <v>1145</v>
      </c>
      <c r="N24" s="317"/>
      <c r="O24" s="317"/>
      <c r="P24" s="317"/>
      <c r="AQ24" s="319"/>
    </row>
    <row r="25" spans="1:43" s="322" customFormat="1">
      <c r="A25" s="64"/>
      <c r="L25" s="316" t="s">
        <v>945</v>
      </c>
      <c r="M25" s="317" t="s">
        <v>1469</v>
      </c>
      <c r="N25" s="317"/>
      <c r="O25" s="317"/>
      <c r="P25" s="317"/>
      <c r="AQ25" s="319"/>
    </row>
    <row r="26" spans="1:43" s="322" customFormat="1">
      <c r="A26" s="64"/>
      <c r="L26" s="316" t="s">
        <v>945</v>
      </c>
      <c r="M26" s="317" t="s">
        <v>1622</v>
      </c>
      <c r="N26" s="317"/>
      <c r="O26" s="317"/>
      <c r="P26" s="317"/>
      <c r="AQ26" s="319"/>
    </row>
    <row r="27" spans="1:43" s="322" customFormat="1">
      <c r="A27" s="64"/>
      <c r="L27" s="316"/>
      <c r="M27" s="317"/>
      <c r="N27" s="317"/>
      <c r="O27" s="317"/>
      <c r="P27" s="317"/>
      <c r="AQ27" s="319"/>
    </row>
    <row r="28" spans="1:43">
      <c r="L28" s="316" t="s">
        <v>948</v>
      </c>
      <c r="M28" s="318" t="s">
        <v>949</v>
      </c>
      <c r="N28" s="317"/>
      <c r="O28" s="317"/>
      <c r="P28" s="317"/>
    </row>
    <row r="29" spans="1:43">
      <c r="L29" s="316" t="s">
        <v>948</v>
      </c>
      <c r="M29" s="318" t="s">
        <v>1144</v>
      </c>
      <c r="N29" s="317"/>
      <c r="O29" s="317"/>
      <c r="P29" s="317"/>
    </row>
    <row r="30" spans="1:43" s="322" customFormat="1">
      <c r="A30" s="64"/>
      <c r="L30" s="316" t="s">
        <v>948</v>
      </c>
      <c r="M30" s="317" t="s">
        <v>1469</v>
      </c>
      <c r="N30" s="317"/>
      <c r="O30" s="317"/>
      <c r="P30" s="317"/>
    </row>
    <row r="31" spans="1:43" s="322" customFormat="1">
      <c r="A31" s="64"/>
      <c r="L31" s="316" t="s">
        <v>948</v>
      </c>
      <c r="M31" s="317" t="s">
        <v>1622</v>
      </c>
      <c r="N31" s="317"/>
      <c r="O31" s="317"/>
      <c r="P31" s="317"/>
    </row>
    <row r="32" spans="1:43" s="322" customFormat="1">
      <c r="A32" s="64"/>
      <c r="L32" s="316"/>
      <c r="M32" s="317"/>
      <c r="N32" s="317"/>
      <c r="O32" s="317"/>
      <c r="P32" s="317"/>
    </row>
    <row r="33" spans="1:14">
      <c r="L33" s="65" t="s">
        <v>950</v>
      </c>
      <c r="M33" t="s">
        <v>951</v>
      </c>
    </row>
    <row r="34" spans="1:14">
      <c r="L34" s="65" t="s">
        <v>950</v>
      </c>
      <c r="M34" s="318" t="s">
        <v>1342</v>
      </c>
    </row>
    <row r="35" spans="1:14" s="322" customFormat="1">
      <c r="A35" s="64"/>
      <c r="L35" s="65" t="s">
        <v>950</v>
      </c>
      <c r="M35" s="317" t="s">
        <v>1469</v>
      </c>
    </row>
    <row r="36" spans="1:14">
      <c r="L36" s="65" t="s">
        <v>950</v>
      </c>
      <c r="M36" s="317" t="s">
        <v>1622</v>
      </c>
    </row>
    <row r="39" spans="1:14">
      <c r="L39" s="322" t="s">
        <v>1360</v>
      </c>
    </row>
    <row r="42" spans="1:14">
      <c r="N42" t="s">
        <v>3</v>
      </c>
    </row>
    <row r="51" spans="1:8" s="390" customFormat="1">
      <c r="A51" s="389"/>
    </row>
    <row r="52" spans="1:8" s="390" customFormat="1" ht="21">
      <c r="A52" s="389"/>
      <c r="B52" s="388"/>
    </row>
    <row r="53" spans="1:8" s="390" customFormat="1" ht="15.75">
      <c r="A53" s="389"/>
      <c r="B53" s="391"/>
      <c r="C53" s="392"/>
      <c r="D53" s="392"/>
      <c r="E53" s="392"/>
      <c r="F53" s="392"/>
      <c r="G53" s="392"/>
      <c r="H53" s="392"/>
    </row>
    <row r="54" spans="1:8" s="390" customFormat="1" ht="15.75">
      <c r="A54" s="389"/>
      <c r="B54" s="393"/>
      <c r="C54" s="394"/>
      <c r="D54" s="394"/>
      <c r="E54" s="394"/>
      <c r="F54" s="394"/>
      <c r="G54" s="394"/>
      <c r="H54" s="395"/>
    </row>
    <row r="55" spans="1:8" s="390" customFormat="1" ht="15.75">
      <c r="A55" s="389"/>
      <c r="B55" s="393"/>
      <c r="C55" s="396"/>
      <c r="D55" s="396"/>
      <c r="E55" s="396"/>
      <c r="F55" s="396"/>
      <c r="G55" s="396"/>
      <c r="H55" s="396"/>
    </row>
    <row r="56" spans="1:8" s="390" customFormat="1" ht="15.75">
      <c r="A56" s="389"/>
      <c r="B56" s="393"/>
      <c r="C56" s="397"/>
      <c r="D56" s="397"/>
      <c r="E56" s="397"/>
      <c r="F56" s="397"/>
      <c r="G56" s="397"/>
      <c r="H56" s="397"/>
    </row>
    <row r="57" spans="1:8" s="390" customFormat="1" ht="15.75">
      <c r="A57" s="389"/>
      <c r="B57" s="393"/>
      <c r="C57" s="391"/>
      <c r="D57" s="391"/>
      <c r="E57" s="391"/>
      <c r="F57" s="391"/>
      <c r="G57" s="391"/>
      <c r="H57" s="391"/>
    </row>
    <row r="58" spans="1:8" s="390" customFormat="1" ht="15.75">
      <c r="A58" s="389"/>
      <c r="B58" s="393"/>
      <c r="C58" s="391"/>
      <c r="D58" s="391"/>
      <c r="E58" s="391"/>
      <c r="F58" s="391"/>
      <c r="G58" s="391"/>
      <c r="H58" s="391"/>
    </row>
    <row r="59" spans="1:8" s="390" customFormat="1" ht="15.75">
      <c r="A59" s="389"/>
      <c r="B59" s="393"/>
      <c r="C59" s="398"/>
      <c r="D59" s="398"/>
      <c r="E59" s="398"/>
      <c r="F59" s="398"/>
      <c r="G59" s="398"/>
      <c r="H59" s="398"/>
    </row>
    <row r="60" spans="1:8" s="390" customFormat="1" ht="15.75">
      <c r="A60" s="389"/>
      <c r="B60" s="393"/>
      <c r="C60" s="398"/>
      <c r="D60" s="398"/>
      <c r="E60" s="398"/>
      <c r="F60" s="398"/>
      <c r="G60" s="398"/>
      <c r="H60" s="398"/>
    </row>
    <row r="61" spans="1:8" s="390" customFormat="1" ht="15.75">
      <c r="A61" s="389"/>
      <c r="B61" s="393"/>
      <c r="C61" s="399"/>
      <c r="D61" s="399"/>
      <c r="E61" s="399"/>
      <c r="F61" s="399"/>
      <c r="G61" s="399"/>
      <c r="H61" s="399"/>
    </row>
    <row r="62" spans="1:8" s="390" customFormat="1" ht="15.75">
      <c r="A62" s="389"/>
      <c r="B62" s="393"/>
      <c r="C62" s="395"/>
      <c r="D62" s="395"/>
      <c r="E62" s="395"/>
      <c r="F62" s="395"/>
      <c r="G62" s="395"/>
      <c r="H62" s="395"/>
    </row>
    <row r="63" spans="1:8" s="390" customFormat="1" ht="15.75">
      <c r="A63" s="389"/>
      <c r="B63" s="393"/>
      <c r="C63" s="400"/>
      <c r="D63" s="400"/>
      <c r="E63" s="400"/>
      <c r="F63" s="400"/>
      <c r="G63" s="400"/>
      <c r="H63" s="400"/>
    </row>
    <row r="64" spans="1:8" s="390" customFormat="1">
      <c r="A64" s="389"/>
    </row>
    <row r="65" spans="1:3" s="390" customFormat="1">
      <c r="A65" s="389"/>
    </row>
    <row r="66" spans="1:3" s="390" customFormat="1" ht="21">
      <c r="A66" s="389"/>
      <c r="B66" s="388"/>
    </row>
    <row r="67" spans="1:3" s="390" customFormat="1">
      <c r="A67" s="389"/>
    </row>
    <row r="68" spans="1:3">
      <c r="B68" s="316"/>
    </row>
    <row r="69" spans="1:3">
      <c r="B69" s="317"/>
    </row>
    <row r="70" spans="1:3">
      <c r="B70" s="317"/>
    </row>
    <row r="71" spans="1:3">
      <c r="B71" s="317"/>
    </row>
    <row r="72" spans="1:3">
      <c r="B72" s="317"/>
    </row>
    <row r="73" spans="1:3">
      <c r="B73" s="317"/>
    </row>
    <row r="74" spans="1:3">
      <c r="B74" s="317"/>
    </row>
    <row r="75" spans="1:3">
      <c r="B75" s="317"/>
    </row>
    <row r="76" spans="1:3">
      <c r="B76" s="317"/>
    </row>
    <row r="77" spans="1:3" ht="21">
      <c r="B77" s="376"/>
      <c r="C77" s="322"/>
    </row>
    <row r="78" spans="1:3">
      <c r="B78" s="317"/>
      <c r="C78" s="322"/>
    </row>
    <row r="79" spans="1:3">
      <c r="B79" s="316"/>
    </row>
    <row r="80" spans="1:3">
      <c r="B80" s="317"/>
    </row>
    <row r="81" spans="2:3">
      <c r="B81" s="317"/>
    </row>
    <row r="82" spans="2:3">
      <c r="B82" s="317"/>
    </row>
    <row r="83" spans="2:3">
      <c r="B83" s="317"/>
    </row>
    <row r="84" spans="2:3">
      <c r="B84" s="317"/>
    </row>
    <row r="85" spans="2:3">
      <c r="B85" s="317"/>
    </row>
    <row r="86" spans="2:3">
      <c r="B86" s="317"/>
    </row>
    <row r="87" spans="2:3">
      <c r="B87" s="317"/>
    </row>
    <row r="88" spans="2:3" ht="21">
      <c r="B88" s="376"/>
      <c r="C88" s="322"/>
    </row>
    <row r="89" spans="2:3">
      <c r="B89" s="317"/>
      <c r="C89" s="322"/>
    </row>
    <row r="90" spans="2:3">
      <c r="B90" s="316"/>
    </row>
    <row r="91" spans="2:3">
      <c r="B91" s="317"/>
    </row>
    <row r="92" spans="2:3">
      <c r="B92" s="317"/>
    </row>
    <row r="93" spans="2:3">
      <c r="B93" s="317"/>
    </row>
    <row r="94" spans="2:3">
      <c r="B94" s="317"/>
    </row>
    <row r="95" spans="2:3">
      <c r="B95" s="317"/>
    </row>
    <row r="96" spans="2:3">
      <c r="B96" s="317"/>
    </row>
    <row r="97" spans="2:3">
      <c r="B97" s="317"/>
    </row>
    <row r="98" spans="2:3">
      <c r="B98" s="317"/>
    </row>
    <row r="99" spans="2:3" ht="21">
      <c r="B99" s="376"/>
      <c r="C99" s="322"/>
    </row>
    <row r="100" spans="2:3">
      <c r="B100" s="317"/>
      <c r="C100" s="322"/>
    </row>
    <row r="101" spans="2:3">
      <c r="B101" s="316"/>
    </row>
    <row r="102" spans="2:3">
      <c r="B102" s="317"/>
    </row>
    <row r="103" spans="2:3">
      <c r="B103" s="317"/>
    </row>
    <row r="104" spans="2:3">
      <c r="B104" s="317"/>
    </row>
    <row r="105" spans="2:3">
      <c r="B105" s="317"/>
    </row>
    <row r="106" spans="2:3">
      <c r="B106" s="317"/>
    </row>
    <row r="107" spans="2:3">
      <c r="B107" s="317"/>
    </row>
    <row r="108" spans="2:3">
      <c r="B108" s="317"/>
    </row>
    <row r="109" spans="2:3">
      <c r="B109" s="317"/>
    </row>
    <row r="110" spans="2:3">
      <c r="B110" s="317"/>
    </row>
    <row r="111" spans="2:3">
      <c r="B111" s="317"/>
    </row>
    <row r="112" spans="2:3">
      <c r="B112" s="317"/>
    </row>
    <row r="113" spans="2:2">
      <c r="B113" s="317"/>
    </row>
    <row r="114" spans="2:2">
      <c r="B114" s="317"/>
    </row>
    <row r="115" spans="2:2">
      <c r="B115" s="317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317"/>
  <sheetViews>
    <sheetView zoomScale="85" zoomScaleNormal="85" workbookViewId="0">
      <selection activeCell="B14" sqref="B14"/>
    </sheetView>
  </sheetViews>
  <sheetFormatPr defaultColWidth="9.140625"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25" customWidth="1"/>
    <col min="5" max="5" width="11" style="425" customWidth="1"/>
    <col min="6" max="6" width="10.42578125" style="426" customWidth="1"/>
    <col min="7" max="7" width="13.5703125" style="426" customWidth="1"/>
    <col min="8" max="8" width="2.140625" style="425" customWidth="1"/>
    <col min="9" max="9" width="14.42578125" style="427" customWidth="1"/>
    <col min="10" max="10" width="9.85546875" style="425" customWidth="1"/>
    <col min="11" max="11" width="14.85546875" style="426" customWidth="1"/>
    <col min="12" max="12" width="14.85546875" style="431" customWidth="1"/>
    <col min="13" max="13" width="10.5703125" style="429" bestFit="1" customWidth="1"/>
    <col min="14" max="14" width="15.140625" style="430" customWidth="1"/>
    <col min="15" max="15" width="26" style="362" customWidth="1"/>
    <col min="16" max="16" width="9.140625" style="119"/>
    <col min="17" max="17" width="12.42578125" style="1" bestFit="1" customWidth="1"/>
    <col min="18" max="16384" width="9.140625" style="1"/>
  </cols>
  <sheetData>
    <row r="2" spans="1:16" ht="15.75">
      <c r="A2" s="11" t="s">
        <v>1719</v>
      </c>
      <c r="J2" s="428"/>
      <c r="K2" s="428"/>
      <c r="L2" s="428"/>
    </row>
    <row r="3" spans="1:16" ht="9" customHeight="1">
      <c r="A3" s="11"/>
    </row>
    <row r="4" spans="1:16" s="7" customFormat="1" ht="16.5" thickBot="1">
      <c r="A4" s="432">
        <f>SUM(K23+K6)</f>
        <v>50713.592782224005</v>
      </c>
      <c r="B4" s="11"/>
      <c r="C4" s="11"/>
      <c r="D4" s="433"/>
      <c r="E4" s="11"/>
      <c r="F4" s="434"/>
      <c r="G4" s="298"/>
      <c r="H4" s="11"/>
      <c r="I4" s="23"/>
      <c r="J4" s="435"/>
      <c r="K4" s="28"/>
      <c r="L4" s="436"/>
      <c r="M4" s="437"/>
      <c r="N4" s="438"/>
      <c r="O4" s="118"/>
      <c r="P4" s="118"/>
    </row>
    <row r="5" spans="1:16" s="11" customFormat="1" ht="10.5" customHeight="1" thickTop="1">
      <c r="B5" s="417"/>
      <c r="C5" s="417"/>
      <c r="F5" s="28"/>
      <c r="G5" s="298"/>
      <c r="I5" s="23"/>
      <c r="J5" s="13"/>
      <c r="K5" s="897"/>
      <c r="L5" s="897"/>
      <c r="M5" s="897"/>
      <c r="N5" s="897"/>
      <c r="O5" s="897"/>
      <c r="P5" s="118"/>
    </row>
    <row r="6" spans="1:16" s="14" customFormat="1" ht="15.75">
      <c r="A6" s="203"/>
      <c r="B6" s="204"/>
      <c r="C6" s="204"/>
      <c r="D6" s="204"/>
      <c r="E6" s="204" t="s">
        <v>23</v>
      </c>
      <c r="F6" s="206"/>
      <c r="G6" s="299"/>
      <c r="H6" s="204"/>
      <c r="I6" s="207"/>
      <c r="J6" s="203"/>
      <c r="K6" s="211">
        <f>SUM(N18)</f>
        <v>8431.25</v>
      </c>
      <c r="L6" s="283"/>
      <c r="M6" s="254"/>
      <c r="N6" s="293"/>
      <c r="O6" s="418"/>
      <c r="P6" s="118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298" t="s">
        <v>19</v>
      </c>
      <c r="G7" s="298" t="s">
        <v>669</v>
      </c>
      <c r="H7" s="14"/>
      <c r="I7" s="439" t="s">
        <v>886</v>
      </c>
      <c r="J7" s="14" t="s">
        <v>18</v>
      </c>
      <c r="K7" s="298" t="s">
        <v>671</v>
      </c>
      <c r="L7" s="440" t="s">
        <v>15</v>
      </c>
      <c r="M7" s="437" t="s">
        <v>10</v>
      </c>
      <c r="N7" s="438" t="s">
        <v>672</v>
      </c>
      <c r="O7" s="327"/>
      <c r="P7" s="118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298" t="s">
        <v>20</v>
      </c>
      <c r="G8" s="298" t="s">
        <v>1095</v>
      </c>
      <c r="H8" s="14"/>
      <c r="I8" s="439" t="s">
        <v>889</v>
      </c>
      <c r="J8" s="14" t="s">
        <v>20</v>
      </c>
      <c r="K8" s="298" t="s">
        <v>1095</v>
      </c>
      <c r="L8" s="440" t="s">
        <v>670</v>
      </c>
      <c r="M8" s="437" t="s">
        <v>14</v>
      </c>
      <c r="N8" s="438"/>
      <c r="O8" s="327"/>
      <c r="P8" s="118"/>
    </row>
    <row r="9" spans="1:16" s="115" customFormat="1" ht="15" customHeight="1">
      <c r="A9" s="441"/>
      <c r="B9" s="442"/>
      <c r="C9" s="442"/>
      <c r="D9" s="442"/>
      <c r="E9" s="442"/>
      <c r="F9" s="443"/>
      <c r="G9" s="444" t="s">
        <v>378</v>
      </c>
      <c r="H9" s="442"/>
      <c r="I9" s="445"/>
      <c r="J9" s="442"/>
      <c r="K9" s="443"/>
      <c r="L9" s="440" t="s">
        <v>378</v>
      </c>
      <c r="M9" s="437" t="s">
        <v>1292</v>
      </c>
      <c r="N9" s="438" t="s">
        <v>884</v>
      </c>
      <c r="P9" s="121"/>
    </row>
    <row r="10" spans="1:16" s="115" customFormat="1" ht="15" customHeight="1">
      <c r="A10" s="14" t="s">
        <v>937</v>
      </c>
      <c r="B10" s="555" t="s">
        <v>33</v>
      </c>
      <c r="C10" s="446" t="s">
        <v>53</v>
      </c>
      <c r="D10" s="447">
        <v>36892</v>
      </c>
      <c r="E10" s="448">
        <v>1</v>
      </c>
      <c r="F10" s="449">
        <v>1</v>
      </c>
      <c r="G10" s="450">
        <f>SUM(E10*F10)</f>
        <v>1</v>
      </c>
      <c r="H10" s="451"/>
      <c r="I10" s="452"/>
      <c r="J10" s="449">
        <v>1</v>
      </c>
      <c r="K10" s="453">
        <f>SUM(E10*J10)</f>
        <v>1</v>
      </c>
      <c r="L10" s="454">
        <f>SUM(K10-G10)</f>
        <v>0</v>
      </c>
      <c r="M10" s="429">
        <v>1</v>
      </c>
      <c r="N10" s="455">
        <f>SUM(L10*M10)</f>
        <v>0</v>
      </c>
      <c r="O10" s="366"/>
      <c r="P10" s="121"/>
    </row>
    <row r="11" spans="1:16" s="117" customFormat="1" ht="15" customHeight="1">
      <c r="A11" s="456" t="s">
        <v>938</v>
      </c>
      <c r="B11" s="605" t="s">
        <v>33</v>
      </c>
      <c r="C11" s="457" t="s">
        <v>78</v>
      </c>
      <c r="D11" s="458">
        <v>36893</v>
      </c>
      <c r="E11" s="459">
        <v>1</v>
      </c>
      <c r="F11" s="460">
        <v>1</v>
      </c>
      <c r="G11" s="461">
        <f>SUM(E11*F11)</f>
        <v>1</v>
      </c>
      <c r="H11" s="462"/>
      <c r="I11" s="463"/>
      <c r="J11" s="460">
        <v>1</v>
      </c>
      <c r="K11" s="464">
        <f>SUM(E11*J11)</f>
        <v>1</v>
      </c>
      <c r="L11" s="465">
        <f>SUM(G11-K11)</f>
        <v>0</v>
      </c>
      <c r="M11" s="466">
        <v>1</v>
      </c>
      <c r="N11" s="467">
        <f>SUM(L11*M11)</f>
        <v>0</v>
      </c>
      <c r="O11" s="365"/>
      <c r="P11" s="122"/>
    </row>
    <row r="12" spans="1:16" s="117" customFormat="1" ht="15" customHeight="1">
      <c r="A12" s="456"/>
      <c r="B12" s="610"/>
      <c r="C12" s="457"/>
      <c r="D12" s="458"/>
      <c r="E12" s="459"/>
      <c r="F12" s="460"/>
      <c r="G12" s="461"/>
      <c r="H12" s="462"/>
      <c r="I12" s="463"/>
      <c r="J12" s="460"/>
      <c r="K12" s="464"/>
      <c r="L12" s="465"/>
      <c r="M12" s="466"/>
      <c r="N12" s="467"/>
      <c r="O12" s="365"/>
      <c r="P12" s="122"/>
    </row>
    <row r="13" spans="1:16" s="117" customFormat="1" ht="15" customHeight="1">
      <c r="A13" s="456"/>
      <c r="B13" s="457"/>
      <c r="C13" s="457"/>
      <c r="D13" s="458"/>
      <c r="E13" s="459"/>
      <c r="F13" s="460"/>
      <c r="G13" s="461"/>
      <c r="H13" s="462"/>
      <c r="I13" s="452"/>
      <c r="J13" s="460"/>
      <c r="K13" s="464"/>
      <c r="L13" s="465"/>
      <c r="M13" s="429"/>
      <c r="N13" s="455"/>
      <c r="O13" s="365"/>
      <c r="P13" s="122"/>
    </row>
    <row r="14" spans="1:16" s="115" customFormat="1" ht="15" customHeight="1">
      <c r="A14" s="14" t="s">
        <v>244</v>
      </c>
      <c r="B14" s="555" t="s">
        <v>245</v>
      </c>
      <c r="C14" s="446" t="s">
        <v>53</v>
      </c>
      <c r="D14" s="447">
        <v>41751</v>
      </c>
      <c r="E14" s="448">
        <v>6250</v>
      </c>
      <c r="F14" s="449">
        <v>40.07</v>
      </c>
      <c r="G14" s="450">
        <f>SUM(E14*F14)</f>
        <v>250437.5</v>
      </c>
      <c r="H14" s="451"/>
      <c r="I14" s="452">
        <v>40.6</v>
      </c>
      <c r="J14" s="449">
        <v>41.49</v>
      </c>
      <c r="K14" s="453">
        <f>SUM(E14*J14)</f>
        <v>259312.5</v>
      </c>
      <c r="L14" s="454">
        <f>SUM(K14-G14)</f>
        <v>8875</v>
      </c>
      <c r="M14" s="429">
        <v>0.95</v>
      </c>
      <c r="N14" s="455">
        <f>SUM(L14*M14)</f>
        <v>8431.25</v>
      </c>
      <c r="O14" s="366"/>
      <c r="P14" s="121"/>
    </row>
    <row r="17" spans="1:17" s="8" customFormat="1" ht="15" customHeight="1">
      <c r="A17" s="456"/>
      <c r="B17" s="456"/>
      <c r="C17" s="456"/>
      <c r="D17" s="468"/>
      <c r="E17" s="469"/>
      <c r="F17" s="470"/>
      <c r="G17" s="471"/>
      <c r="H17" s="468"/>
      <c r="I17" s="472"/>
      <c r="J17" s="473"/>
      <c r="K17" s="426"/>
      <c r="L17" s="474"/>
      <c r="M17" s="466"/>
      <c r="N17" s="475"/>
      <c r="O17" s="369"/>
      <c r="P17" s="119"/>
    </row>
    <row r="18" spans="1:17" s="14" customFormat="1" ht="16.5" thickBot="1">
      <c r="A18" s="35" t="s">
        <v>28</v>
      </c>
      <c r="B18" s="35"/>
      <c r="C18" s="35"/>
      <c r="D18" s="35"/>
      <c r="E18" s="35"/>
      <c r="F18" s="36"/>
      <c r="G18" s="36"/>
      <c r="H18" s="37"/>
      <c r="I18" s="38"/>
      <c r="J18" s="37"/>
      <c r="K18" s="36"/>
      <c r="L18" s="288"/>
      <c r="M18" s="248"/>
      <c r="N18" s="237">
        <f>SUM(N14:N17)</f>
        <v>8431.25</v>
      </c>
      <c r="O18" s="419"/>
      <c r="P18" s="118"/>
    </row>
    <row r="19" spans="1:17" s="14" customFormat="1" ht="8.25" customHeight="1" thickTop="1">
      <c r="A19" s="48"/>
      <c r="B19" s="48"/>
      <c r="C19" s="48"/>
      <c r="D19" s="48"/>
      <c r="E19" s="48"/>
      <c r="F19" s="49"/>
      <c r="G19" s="49"/>
      <c r="H19" s="50"/>
      <c r="I19" s="51"/>
      <c r="J19" s="50"/>
      <c r="K19" s="49"/>
      <c r="L19" s="289"/>
      <c r="M19" s="249"/>
      <c r="N19" s="294"/>
      <c r="O19" s="420"/>
      <c r="P19" s="118"/>
    </row>
    <row r="20" spans="1:17" ht="11.25" customHeight="1">
      <c r="A20" s="476"/>
      <c r="B20" s="476"/>
      <c r="C20" s="476"/>
      <c r="D20" s="477"/>
      <c r="E20" s="478"/>
      <c r="F20" s="479"/>
      <c r="G20" s="479"/>
      <c r="H20" s="477"/>
      <c r="I20" s="480"/>
      <c r="J20" s="477"/>
      <c r="K20" s="479"/>
      <c r="L20" s="481"/>
      <c r="M20" s="482"/>
      <c r="N20" s="483"/>
      <c r="O20" s="421"/>
    </row>
    <row r="21" spans="1:17" ht="11.25" customHeight="1">
      <c r="A21" s="476"/>
      <c r="B21" s="476"/>
      <c r="C21" s="476"/>
      <c r="D21" s="478"/>
      <c r="E21" s="478"/>
      <c r="F21" s="479"/>
      <c r="G21" s="479"/>
      <c r="H21" s="478"/>
      <c r="I21" s="480"/>
      <c r="J21" s="478"/>
      <c r="K21" s="479"/>
      <c r="L21" s="481"/>
      <c r="M21" s="482"/>
      <c r="N21" s="483"/>
      <c r="O21" s="422"/>
    </row>
    <row r="22" spans="1:17" ht="6.75" customHeight="1">
      <c r="A22" s="456"/>
      <c r="B22" s="456"/>
      <c r="C22" s="456"/>
      <c r="D22" s="484"/>
      <c r="E22" s="484"/>
      <c r="F22" s="470"/>
      <c r="G22" s="470"/>
      <c r="H22" s="484"/>
      <c r="I22" s="485"/>
      <c r="J22" s="484"/>
      <c r="K22" s="470"/>
      <c r="L22" s="474"/>
      <c r="M22" s="466"/>
      <c r="N22" s="475"/>
      <c r="O22" s="113"/>
    </row>
    <row r="23" spans="1:17" s="22" customFormat="1" ht="18.75">
      <c r="A23" s="486"/>
      <c r="B23" s="487"/>
      <c r="C23" s="487"/>
      <c r="D23" s="487"/>
      <c r="E23" s="487" t="s">
        <v>22</v>
      </c>
      <c r="F23" s="488"/>
      <c r="G23" s="221"/>
      <c r="H23" s="487"/>
      <c r="I23" s="489"/>
      <c r="J23" s="487"/>
      <c r="K23" s="231">
        <f>SUM(N316)</f>
        <v>42282.342782224005</v>
      </c>
      <c r="L23" s="490"/>
      <c r="M23" s="491"/>
      <c r="N23" s="492"/>
      <c r="O23" s="423"/>
      <c r="P23" s="119"/>
    </row>
    <row r="24" spans="1:17" s="2" customFormat="1" ht="15.75">
      <c r="A24" s="14"/>
      <c r="B24" s="14" t="s">
        <v>6</v>
      </c>
      <c r="C24" s="14" t="s">
        <v>181</v>
      </c>
      <c r="D24" s="14" t="s">
        <v>17</v>
      </c>
      <c r="E24" s="14" t="s">
        <v>26</v>
      </c>
      <c r="F24" s="298" t="s">
        <v>19</v>
      </c>
      <c r="G24" s="298" t="s">
        <v>669</v>
      </c>
      <c r="H24" s="14"/>
      <c r="I24" s="439" t="s">
        <v>29</v>
      </c>
      <c r="J24" s="14" t="s">
        <v>18</v>
      </c>
      <c r="K24" s="298" t="s">
        <v>671</v>
      </c>
      <c r="L24" s="440" t="s">
        <v>15</v>
      </c>
      <c r="M24" s="437" t="s">
        <v>10</v>
      </c>
      <c r="N24" s="438" t="s">
        <v>672</v>
      </c>
      <c r="O24" s="327"/>
      <c r="P24" s="118"/>
    </row>
    <row r="25" spans="1:17" s="2" customFormat="1" ht="15.75">
      <c r="A25" s="14" t="s">
        <v>180</v>
      </c>
      <c r="B25" s="14" t="s">
        <v>0</v>
      </c>
      <c r="C25" s="14"/>
      <c r="D25" s="14" t="s">
        <v>25</v>
      </c>
      <c r="E25" s="14" t="s">
        <v>21</v>
      </c>
      <c r="F25" s="298" t="s">
        <v>20</v>
      </c>
      <c r="G25" s="298" t="s">
        <v>670</v>
      </c>
      <c r="H25" s="14"/>
      <c r="I25" s="439" t="s">
        <v>7</v>
      </c>
      <c r="J25" s="14" t="s">
        <v>20</v>
      </c>
      <c r="K25" s="298" t="s">
        <v>670</v>
      </c>
      <c r="L25" s="440" t="s">
        <v>670</v>
      </c>
      <c r="M25" s="437" t="s">
        <v>14</v>
      </c>
      <c r="N25" s="438"/>
      <c r="O25" s="327"/>
      <c r="P25" s="118"/>
    </row>
    <row r="26" spans="1:17" s="115" customFormat="1" ht="15" customHeight="1">
      <c r="A26" s="441"/>
      <c r="B26" s="442"/>
      <c r="C26" s="442"/>
      <c r="D26" s="442"/>
      <c r="E26" s="442"/>
      <c r="F26" s="443"/>
      <c r="G26" s="444" t="s">
        <v>378</v>
      </c>
      <c r="H26" s="442"/>
      <c r="I26" s="493"/>
      <c r="J26" s="442"/>
      <c r="K26" s="443"/>
      <c r="L26" s="440" t="s">
        <v>378</v>
      </c>
      <c r="M26" s="437" t="s">
        <v>1292</v>
      </c>
      <c r="N26" s="438" t="s">
        <v>884</v>
      </c>
      <c r="P26" s="121"/>
    </row>
    <row r="27" spans="1:17" s="115" customFormat="1" ht="15" customHeight="1">
      <c r="A27" s="456"/>
      <c r="B27" s="442"/>
      <c r="C27" s="442"/>
      <c r="D27" s="451"/>
      <c r="E27" s="451"/>
      <c r="F27" s="494"/>
      <c r="G27" s="450"/>
      <c r="H27" s="451"/>
      <c r="I27" s="493"/>
      <c r="J27" s="451"/>
      <c r="K27" s="494"/>
      <c r="L27" s="454"/>
      <c r="M27" s="495"/>
      <c r="N27" s="455"/>
      <c r="O27" s="366"/>
      <c r="P27" s="121"/>
    </row>
    <row r="28" spans="1:17" s="117" customFormat="1" ht="15" customHeight="1">
      <c r="A28" s="457" t="s">
        <v>137</v>
      </c>
      <c r="B28" s="457" t="s">
        <v>182</v>
      </c>
      <c r="C28" s="457" t="s">
        <v>78</v>
      </c>
      <c r="D28" s="458">
        <v>40534</v>
      </c>
      <c r="E28" s="459">
        <v>4000</v>
      </c>
      <c r="F28" s="460">
        <v>2.2000000000000002</v>
      </c>
      <c r="G28" s="461">
        <f t="shared" ref="G28:G65" si="0">SUM(E28*F28)</f>
        <v>8800</v>
      </c>
      <c r="H28" s="462"/>
      <c r="I28" s="458">
        <v>40556</v>
      </c>
      <c r="J28" s="460">
        <v>2.1949999999999998</v>
      </c>
      <c r="K28" s="464">
        <f t="shared" ref="K28:K49" si="1">SUM(E28*J28)</f>
        <v>8780</v>
      </c>
      <c r="L28" s="454">
        <f>SUM(G28-K28)</f>
        <v>20</v>
      </c>
      <c r="M28" s="496">
        <v>0.99770000000000003</v>
      </c>
      <c r="N28" s="455">
        <f>SUM(L28*M28)</f>
        <v>19.954000000000001</v>
      </c>
      <c r="O28" s="365"/>
      <c r="P28" s="123"/>
      <c r="Q28" s="279"/>
    </row>
    <row r="29" spans="1:17" s="115" customFormat="1" ht="15" customHeight="1">
      <c r="A29" s="446" t="s">
        <v>138</v>
      </c>
      <c r="B29" s="446" t="s">
        <v>183</v>
      </c>
      <c r="C29" s="446" t="s">
        <v>53</v>
      </c>
      <c r="D29" s="447">
        <v>40561</v>
      </c>
      <c r="E29" s="448">
        <v>1583</v>
      </c>
      <c r="F29" s="449">
        <v>7.0640000000000001</v>
      </c>
      <c r="G29" s="450">
        <f t="shared" si="0"/>
        <v>11182.312</v>
      </c>
      <c r="H29" s="451"/>
      <c r="I29" s="497">
        <v>40563</v>
      </c>
      <c r="J29" s="449">
        <v>6.7930000000000001</v>
      </c>
      <c r="K29" s="453">
        <f t="shared" si="1"/>
        <v>10753.319</v>
      </c>
      <c r="L29" s="454">
        <f>SUM(K29-G29)</f>
        <v>-428.99300000000039</v>
      </c>
      <c r="M29" s="495">
        <v>1.0004</v>
      </c>
      <c r="N29" s="455">
        <f t="shared" ref="N29:N92" si="2">SUM(L29*M29)</f>
        <v>-429.1645972000004</v>
      </c>
      <c r="O29" s="366"/>
      <c r="P29" s="124"/>
    </row>
    <row r="30" spans="1:17" s="115" customFormat="1" ht="15" customHeight="1">
      <c r="A30" s="498" t="s">
        <v>141</v>
      </c>
      <c r="B30" s="498" t="s">
        <v>171</v>
      </c>
      <c r="C30" s="498" t="s">
        <v>53</v>
      </c>
      <c r="D30" s="497">
        <v>40562</v>
      </c>
      <c r="E30" s="499">
        <v>8064</v>
      </c>
      <c r="F30" s="500">
        <v>1.95</v>
      </c>
      <c r="G30" s="450">
        <f>SUM(E30*F30)</f>
        <v>15724.8</v>
      </c>
      <c r="H30" s="451"/>
      <c r="I30" s="497">
        <v>40567</v>
      </c>
      <c r="J30" s="500">
        <v>1.89</v>
      </c>
      <c r="K30" s="453">
        <f>SUM(E30*J30)</f>
        <v>15240.96</v>
      </c>
      <c r="L30" s="454">
        <f>SUM(K30-G30)</f>
        <v>-483.84000000000015</v>
      </c>
      <c r="M30" s="495">
        <v>0.9879</v>
      </c>
      <c r="N30" s="455">
        <f>SUM(L30*M30)</f>
        <v>-477.98553600000014</v>
      </c>
      <c r="O30" s="366"/>
      <c r="P30" s="124"/>
    </row>
    <row r="31" spans="1:17" s="117" customFormat="1" ht="15" customHeight="1">
      <c r="A31" s="457" t="s">
        <v>140</v>
      </c>
      <c r="B31" s="457" t="s">
        <v>185</v>
      </c>
      <c r="C31" s="457" t="s">
        <v>78</v>
      </c>
      <c r="D31" s="458">
        <v>40568</v>
      </c>
      <c r="E31" s="459">
        <v>8000</v>
      </c>
      <c r="F31" s="460">
        <v>2.09</v>
      </c>
      <c r="G31" s="461">
        <f>SUM(E31*F31)</f>
        <v>16720</v>
      </c>
      <c r="H31" s="462"/>
      <c r="I31" s="458">
        <v>40568</v>
      </c>
      <c r="J31" s="460">
        <v>2.15</v>
      </c>
      <c r="K31" s="464">
        <f>SUM(E31*J31)</f>
        <v>17200</v>
      </c>
      <c r="L31" s="465">
        <f>SUM(G31-K31)</f>
        <v>-480</v>
      </c>
      <c r="M31" s="496">
        <v>0.99724000000000002</v>
      </c>
      <c r="N31" s="467">
        <f>SUM(L31*M31)</f>
        <v>-478.67520000000002</v>
      </c>
      <c r="O31" s="365"/>
      <c r="P31" s="123"/>
    </row>
    <row r="32" spans="1:17" s="115" customFormat="1" ht="15" customHeight="1">
      <c r="A32" s="446" t="s">
        <v>139</v>
      </c>
      <c r="B32" s="446" t="s">
        <v>184</v>
      </c>
      <c r="C32" s="446" t="s">
        <v>53</v>
      </c>
      <c r="D32" s="447">
        <v>40560</v>
      </c>
      <c r="E32" s="448">
        <v>1560</v>
      </c>
      <c r="F32" s="449">
        <v>5.4</v>
      </c>
      <c r="G32" s="450">
        <f t="shared" si="0"/>
        <v>8424</v>
      </c>
      <c r="H32" s="451"/>
      <c r="I32" s="497">
        <v>40570</v>
      </c>
      <c r="J32" s="449">
        <v>4.92</v>
      </c>
      <c r="K32" s="453">
        <f t="shared" si="1"/>
        <v>7675.2</v>
      </c>
      <c r="L32" s="454">
        <f>SUM(K32-G32)</f>
        <v>-748.80000000000018</v>
      </c>
      <c r="M32" s="495">
        <v>0.99899000000000004</v>
      </c>
      <c r="N32" s="455">
        <f t="shared" si="2"/>
        <v>-748.04371200000026</v>
      </c>
      <c r="O32" s="366"/>
      <c r="P32" s="124"/>
    </row>
    <row r="33" spans="1:16" s="115" customFormat="1" ht="15" customHeight="1">
      <c r="A33" s="498" t="s">
        <v>142</v>
      </c>
      <c r="B33" s="498" t="s">
        <v>143</v>
      </c>
      <c r="C33" s="498" t="s">
        <v>53</v>
      </c>
      <c r="D33" s="497">
        <v>40576</v>
      </c>
      <c r="E33" s="499">
        <v>5000</v>
      </c>
      <c r="F33" s="500">
        <v>6.2060000000000004</v>
      </c>
      <c r="G33" s="450">
        <f t="shared" si="0"/>
        <v>31030.000000000004</v>
      </c>
      <c r="H33" s="451"/>
      <c r="I33" s="497">
        <v>40578</v>
      </c>
      <c r="J33" s="500">
        <v>6.3140000000000001</v>
      </c>
      <c r="K33" s="453">
        <f t="shared" si="1"/>
        <v>31570</v>
      </c>
      <c r="L33" s="454">
        <f>SUM(K33-G33)</f>
        <v>539.99999999999636</v>
      </c>
      <c r="M33" s="495">
        <v>1.01508</v>
      </c>
      <c r="N33" s="455">
        <f t="shared" si="2"/>
        <v>548.14319999999634</v>
      </c>
      <c r="O33" s="366"/>
      <c r="P33" s="124"/>
    </row>
    <row r="34" spans="1:16" s="117" customFormat="1" ht="15" customHeight="1">
      <c r="A34" s="457" t="s">
        <v>144</v>
      </c>
      <c r="B34" s="457" t="s">
        <v>186</v>
      </c>
      <c r="C34" s="457" t="s">
        <v>78</v>
      </c>
      <c r="D34" s="458">
        <v>40534</v>
      </c>
      <c r="E34" s="459">
        <v>1450</v>
      </c>
      <c r="F34" s="460">
        <v>5.83</v>
      </c>
      <c r="G34" s="461">
        <f t="shared" si="0"/>
        <v>8453.5</v>
      </c>
      <c r="H34" s="462"/>
      <c r="I34" s="458">
        <v>40581</v>
      </c>
      <c r="J34" s="460">
        <v>6.01</v>
      </c>
      <c r="K34" s="464">
        <f t="shared" si="1"/>
        <v>8714.5</v>
      </c>
      <c r="L34" s="465">
        <f>SUM(G34-K34)</f>
        <v>-261</v>
      </c>
      <c r="M34" s="496">
        <v>1.01305</v>
      </c>
      <c r="N34" s="467">
        <f t="shared" si="2"/>
        <v>-264.40604999999999</v>
      </c>
      <c r="O34" s="365"/>
      <c r="P34" s="123"/>
    </row>
    <row r="35" spans="1:16" s="117" customFormat="1" ht="15" customHeight="1">
      <c r="A35" s="457" t="s">
        <v>145</v>
      </c>
      <c r="B35" s="457" t="s">
        <v>187</v>
      </c>
      <c r="C35" s="457" t="s">
        <v>78</v>
      </c>
      <c r="D35" s="458">
        <v>40567</v>
      </c>
      <c r="E35" s="459">
        <v>5000</v>
      </c>
      <c r="F35" s="460">
        <v>2.4620000000000002</v>
      </c>
      <c r="G35" s="461">
        <f t="shared" si="0"/>
        <v>12310.000000000002</v>
      </c>
      <c r="H35" s="462"/>
      <c r="I35" s="458">
        <v>40582</v>
      </c>
      <c r="J35" s="460">
        <v>2.6379999999999999</v>
      </c>
      <c r="K35" s="464">
        <f t="shared" si="1"/>
        <v>13190</v>
      </c>
      <c r="L35" s="465">
        <f>SUM(G35-K35)</f>
        <v>-879.99999999999818</v>
      </c>
      <c r="M35" s="496">
        <v>1.01329</v>
      </c>
      <c r="N35" s="467">
        <f t="shared" si="2"/>
        <v>-891.69519999999818</v>
      </c>
      <c r="O35" s="365"/>
      <c r="P35" s="123"/>
    </row>
    <row r="36" spans="1:16" s="117" customFormat="1" ht="15" customHeight="1">
      <c r="A36" s="457" t="s">
        <v>146</v>
      </c>
      <c r="B36" s="457" t="s">
        <v>147</v>
      </c>
      <c r="C36" s="457" t="s">
        <v>78</v>
      </c>
      <c r="D36" s="458">
        <v>40583</v>
      </c>
      <c r="E36" s="459">
        <v>5000</v>
      </c>
      <c r="F36" s="460">
        <v>1.655</v>
      </c>
      <c r="G36" s="461">
        <f t="shared" si="0"/>
        <v>8275</v>
      </c>
      <c r="H36" s="462"/>
      <c r="I36" s="458">
        <v>40589</v>
      </c>
      <c r="J36" s="460">
        <v>1.7450000000000001</v>
      </c>
      <c r="K36" s="464">
        <f t="shared" si="1"/>
        <v>8725</v>
      </c>
      <c r="L36" s="465">
        <f>SUM(G36-K36)</f>
        <v>-450</v>
      </c>
      <c r="M36" s="496">
        <v>1.00268</v>
      </c>
      <c r="N36" s="467">
        <f t="shared" si="2"/>
        <v>-451.20600000000002</v>
      </c>
      <c r="O36" s="365"/>
      <c r="P36" s="123"/>
    </row>
    <row r="37" spans="1:16" s="117" customFormat="1" ht="15" customHeight="1">
      <c r="A37" s="457" t="s">
        <v>148</v>
      </c>
      <c r="B37" s="457" t="s">
        <v>149</v>
      </c>
      <c r="C37" s="457" t="s">
        <v>78</v>
      </c>
      <c r="D37" s="458">
        <v>40590</v>
      </c>
      <c r="E37" s="459">
        <v>2500</v>
      </c>
      <c r="F37" s="460">
        <v>9.8800000000000008</v>
      </c>
      <c r="G37" s="461">
        <f t="shared" si="0"/>
        <v>24700.000000000004</v>
      </c>
      <c r="H37" s="462"/>
      <c r="I37" s="458">
        <v>40590</v>
      </c>
      <c r="J37" s="460">
        <v>9.93</v>
      </c>
      <c r="K37" s="464">
        <f t="shared" si="1"/>
        <v>24825</v>
      </c>
      <c r="L37" s="465">
        <f>SUM(G37-K37)</f>
        <v>-124.99999999999636</v>
      </c>
      <c r="M37" s="496">
        <v>0.99628000000000005</v>
      </c>
      <c r="N37" s="467">
        <f t="shared" si="2"/>
        <v>-124.53499999999639</v>
      </c>
      <c r="O37" s="365"/>
      <c r="P37" s="123"/>
    </row>
    <row r="38" spans="1:16" s="117" customFormat="1" ht="15" customHeight="1">
      <c r="A38" s="457" t="s">
        <v>150</v>
      </c>
      <c r="B38" s="457" t="s">
        <v>151</v>
      </c>
      <c r="C38" s="457" t="s">
        <v>78</v>
      </c>
      <c r="D38" s="458">
        <v>40591</v>
      </c>
      <c r="E38" s="459">
        <v>200</v>
      </c>
      <c r="F38" s="460">
        <v>34.79</v>
      </c>
      <c r="G38" s="461">
        <f t="shared" si="0"/>
        <v>6958</v>
      </c>
      <c r="H38" s="462"/>
      <c r="I38" s="458">
        <v>40592</v>
      </c>
      <c r="J38" s="460">
        <v>33.880000000000003</v>
      </c>
      <c r="K38" s="464">
        <f t="shared" si="1"/>
        <v>6776.0000000000009</v>
      </c>
      <c r="L38" s="454">
        <f>SUM(G38-K38)</f>
        <v>181.99999999999909</v>
      </c>
      <c r="M38" s="496">
        <v>1.0117100000000001</v>
      </c>
      <c r="N38" s="455">
        <f t="shared" si="2"/>
        <v>184.1312199999991</v>
      </c>
      <c r="O38" s="365"/>
      <c r="P38" s="123"/>
    </row>
    <row r="39" spans="1:16" s="115" customFormat="1" ht="15" customHeight="1">
      <c r="A39" s="446" t="s">
        <v>152</v>
      </c>
      <c r="B39" s="446" t="s">
        <v>153</v>
      </c>
      <c r="C39" s="446" t="s">
        <v>53</v>
      </c>
      <c r="D39" s="447">
        <v>40590</v>
      </c>
      <c r="E39" s="448">
        <v>1025</v>
      </c>
      <c r="F39" s="449">
        <v>5.04</v>
      </c>
      <c r="G39" s="450">
        <f t="shared" si="0"/>
        <v>5166</v>
      </c>
      <c r="H39" s="451"/>
      <c r="I39" s="497">
        <v>40595</v>
      </c>
      <c r="J39" s="449">
        <v>5.07</v>
      </c>
      <c r="K39" s="453">
        <f t="shared" si="1"/>
        <v>5196.75</v>
      </c>
      <c r="L39" s="454">
        <f>SUM(K39-G39)</f>
        <v>30.75</v>
      </c>
      <c r="M39" s="495">
        <v>1.01362</v>
      </c>
      <c r="N39" s="455">
        <f t="shared" si="2"/>
        <v>31.168814999999999</v>
      </c>
      <c r="O39" s="366"/>
      <c r="P39" s="124"/>
    </row>
    <row r="40" spans="1:16" s="115" customFormat="1" ht="15" customHeight="1">
      <c r="A40" s="446" t="s">
        <v>154</v>
      </c>
      <c r="B40" s="446" t="s">
        <v>155</v>
      </c>
      <c r="C40" s="446" t="s">
        <v>53</v>
      </c>
      <c r="D40" s="447">
        <v>40590</v>
      </c>
      <c r="E40" s="448">
        <v>2000</v>
      </c>
      <c r="F40" s="449">
        <v>3.09</v>
      </c>
      <c r="G40" s="450">
        <f t="shared" si="0"/>
        <v>6180</v>
      </c>
      <c r="H40" s="451"/>
      <c r="I40" s="497">
        <v>40596</v>
      </c>
      <c r="J40" s="449">
        <v>3</v>
      </c>
      <c r="K40" s="453">
        <f t="shared" si="1"/>
        <v>6000</v>
      </c>
      <c r="L40" s="454">
        <f>SUM(K40-G40)</f>
        <v>-180</v>
      </c>
      <c r="M40" s="495">
        <v>1.00925</v>
      </c>
      <c r="N40" s="455">
        <f t="shared" si="2"/>
        <v>-181.66499999999999</v>
      </c>
      <c r="O40" s="366"/>
      <c r="P40" s="124"/>
    </row>
    <row r="41" spans="1:16" s="115" customFormat="1" ht="15" customHeight="1">
      <c r="A41" s="446" t="s">
        <v>156</v>
      </c>
      <c r="B41" s="446" t="s">
        <v>157</v>
      </c>
      <c r="C41" s="446" t="s">
        <v>53</v>
      </c>
      <c r="D41" s="447">
        <v>40588</v>
      </c>
      <c r="E41" s="448">
        <v>8750</v>
      </c>
      <c r="F41" s="449">
        <v>1.24</v>
      </c>
      <c r="G41" s="450">
        <f t="shared" si="0"/>
        <v>10850</v>
      </c>
      <c r="H41" s="451"/>
      <c r="I41" s="497">
        <v>40596</v>
      </c>
      <c r="J41" s="449">
        <v>1.1499999999999999</v>
      </c>
      <c r="K41" s="453">
        <f t="shared" si="1"/>
        <v>10062.5</v>
      </c>
      <c r="L41" s="454">
        <f>SUM(K41-G41)</f>
        <v>-787.5</v>
      </c>
      <c r="M41" s="495">
        <v>1.00925</v>
      </c>
      <c r="N41" s="455">
        <f t="shared" si="2"/>
        <v>-794.78437499999995</v>
      </c>
      <c r="O41" s="366"/>
      <c r="P41" s="124"/>
    </row>
    <row r="42" spans="1:16" s="117" customFormat="1" ht="15" customHeight="1">
      <c r="A42" s="457" t="s">
        <v>158</v>
      </c>
      <c r="B42" s="457" t="s">
        <v>188</v>
      </c>
      <c r="C42" s="457" t="s">
        <v>78</v>
      </c>
      <c r="D42" s="458">
        <v>40534</v>
      </c>
      <c r="E42" s="459">
        <v>500</v>
      </c>
      <c r="F42" s="460">
        <v>18.16</v>
      </c>
      <c r="G42" s="461">
        <f t="shared" si="0"/>
        <v>9080</v>
      </c>
      <c r="H42" s="462"/>
      <c r="I42" s="458">
        <v>40596</v>
      </c>
      <c r="J42" s="460">
        <v>17.21</v>
      </c>
      <c r="K42" s="464">
        <f t="shared" si="1"/>
        <v>8605</v>
      </c>
      <c r="L42" s="454">
        <f>SUM(G42-K42)</f>
        <v>475</v>
      </c>
      <c r="M42" s="495">
        <v>1.00925</v>
      </c>
      <c r="N42" s="455">
        <f t="shared" si="2"/>
        <v>479.39375000000001</v>
      </c>
      <c r="O42" s="365"/>
      <c r="P42" s="123"/>
    </row>
    <row r="43" spans="1:16" s="115" customFormat="1" ht="15" customHeight="1">
      <c r="A43" s="498" t="s">
        <v>159</v>
      </c>
      <c r="B43" s="498" t="s">
        <v>160</v>
      </c>
      <c r="C43" s="498" t="s">
        <v>53</v>
      </c>
      <c r="D43" s="497">
        <v>40562</v>
      </c>
      <c r="E43" s="499">
        <v>864</v>
      </c>
      <c r="F43" s="500">
        <v>0.82</v>
      </c>
      <c r="G43" s="450">
        <f t="shared" si="0"/>
        <v>708.4799999999999</v>
      </c>
      <c r="H43" s="451"/>
      <c r="I43" s="497">
        <v>40596</v>
      </c>
      <c r="J43" s="500">
        <v>0.75800000000000001</v>
      </c>
      <c r="K43" s="453">
        <f t="shared" si="1"/>
        <v>654.91200000000003</v>
      </c>
      <c r="L43" s="454">
        <f t="shared" ref="L43:L61" si="3">SUM(K43-G43)</f>
        <v>-53.56799999999987</v>
      </c>
      <c r="M43" s="495">
        <v>1.00925</v>
      </c>
      <c r="N43" s="455">
        <f t="shared" si="2"/>
        <v>-54.063503999999867</v>
      </c>
      <c r="O43" s="366"/>
      <c r="P43" s="124"/>
    </row>
    <row r="44" spans="1:16" s="115" customFormat="1" ht="15" customHeight="1">
      <c r="A44" s="446" t="s">
        <v>161</v>
      </c>
      <c r="B44" s="446" t="s">
        <v>162</v>
      </c>
      <c r="C44" s="446" t="s">
        <v>53</v>
      </c>
      <c r="D44" s="447">
        <v>40589</v>
      </c>
      <c r="E44" s="448">
        <v>1700</v>
      </c>
      <c r="F44" s="449">
        <v>3.15</v>
      </c>
      <c r="G44" s="450">
        <f t="shared" si="0"/>
        <v>5355</v>
      </c>
      <c r="H44" s="451"/>
      <c r="I44" s="497">
        <v>40596</v>
      </c>
      <c r="J44" s="449">
        <v>3.09</v>
      </c>
      <c r="K44" s="453">
        <f t="shared" si="1"/>
        <v>5253</v>
      </c>
      <c r="L44" s="454">
        <f t="shared" si="3"/>
        <v>-102</v>
      </c>
      <c r="M44" s="495">
        <v>1.00925</v>
      </c>
      <c r="N44" s="455">
        <f t="shared" si="2"/>
        <v>-102.9435</v>
      </c>
      <c r="O44" s="366"/>
      <c r="P44" s="124"/>
    </row>
    <row r="45" spans="1:16" s="115" customFormat="1" ht="15" customHeight="1">
      <c r="A45" s="446" t="s">
        <v>163</v>
      </c>
      <c r="B45" s="446" t="s">
        <v>164</v>
      </c>
      <c r="C45" s="446" t="s">
        <v>53</v>
      </c>
      <c r="D45" s="447">
        <v>40588</v>
      </c>
      <c r="E45" s="501">
        <v>200</v>
      </c>
      <c r="F45" s="448">
        <v>26.58</v>
      </c>
      <c r="G45" s="450">
        <f t="shared" si="0"/>
        <v>5316</v>
      </c>
      <c r="H45" s="451"/>
      <c r="I45" s="497">
        <v>40596</v>
      </c>
      <c r="J45" s="449">
        <v>26.18</v>
      </c>
      <c r="K45" s="453">
        <f t="shared" si="1"/>
        <v>5236</v>
      </c>
      <c r="L45" s="454">
        <f t="shared" si="3"/>
        <v>-80</v>
      </c>
      <c r="M45" s="495">
        <v>1.00925</v>
      </c>
      <c r="N45" s="455">
        <f t="shared" si="2"/>
        <v>-80.739999999999995</v>
      </c>
      <c r="O45" s="366"/>
      <c r="P45" s="124"/>
    </row>
    <row r="46" spans="1:16" s="115" customFormat="1" ht="15" customHeight="1">
      <c r="A46" s="446" t="s">
        <v>165</v>
      </c>
      <c r="B46" s="446" t="s">
        <v>166</v>
      </c>
      <c r="C46" s="498" t="s">
        <v>53</v>
      </c>
      <c r="D46" s="447">
        <v>40595</v>
      </c>
      <c r="E46" s="448">
        <v>1800</v>
      </c>
      <c r="F46" s="449">
        <v>3</v>
      </c>
      <c r="G46" s="450">
        <f t="shared" si="0"/>
        <v>5400</v>
      </c>
      <c r="H46" s="451"/>
      <c r="I46" s="497">
        <v>40596</v>
      </c>
      <c r="J46" s="449">
        <v>2.85</v>
      </c>
      <c r="K46" s="453">
        <f t="shared" si="1"/>
        <v>5130</v>
      </c>
      <c r="L46" s="454">
        <f t="shared" si="3"/>
        <v>-270</v>
      </c>
      <c r="M46" s="495">
        <v>1.00925</v>
      </c>
      <c r="N46" s="455">
        <f t="shared" si="2"/>
        <v>-272.4975</v>
      </c>
      <c r="O46" s="366"/>
      <c r="P46" s="124"/>
    </row>
    <row r="47" spans="1:16" s="115" customFormat="1" ht="15" customHeight="1">
      <c r="A47" s="446" t="s">
        <v>167</v>
      </c>
      <c r="B47" s="446" t="s">
        <v>168</v>
      </c>
      <c r="C47" s="446" t="s">
        <v>53</v>
      </c>
      <c r="D47" s="447">
        <v>40583</v>
      </c>
      <c r="E47" s="448">
        <v>1103</v>
      </c>
      <c r="F47" s="449">
        <v>24.79</v>
      </c>
      <c r="G47" s="450">
        <f t="shared" si="0"/>
        <v>27343.37</v>
      </c>
      <c r="H47" s="451"/>
      <c r="I47" s="497">
        <v>40597</v>
      </c>
      <c r="J47" s="449">
        <v>24.21</v>
      </c>
      <c r="K47" s="453">
        <f t="shared" si="1"/>
        <v>26703.63</v>
      </c>
      <c r="L47" s="454">
        <f t="shared" si="3"/>
        <v>-639.73999999999796</v>
      </c>
      <c r="M47" s="495">
        <v>0.99858000000000002</v>
      </c>
      <c r="N47" s="455">
        <f t="shared" si="2"/>
        <v>-638.83156919999794</v>
      </c>
      <c r="O47" s="366"/>
      <c r="P47" s="124"/>
    </row>
    <row r="48" spans="1:16" s="115" customFormat="1" ht="15" customHeight="1">
      <c r="A48" s="446" t="s">
        <v>169</v>
      </c>
      <c r="B48" s="446" t="s">
        <v>170</v>
      </c>
      <c r="C48" s="446" t="s">
        <v>53</v>
      </c>
      <c r="D48" s="447">
        <v>40568</v>
      </c>
      <c r="E48" s="448">
        <v>954</v>
      </c>
      <c r="F48" s="449">
        <v>9.41</v>
      </c>
      <c r="G48" s="450">
        <f t="shared" si="0"/>
        <v>8977.14</v>
      </c>
      <c r="H48" s="451"/>
      <c r="I48" s="497">
        <v>40597</v>
      </c>
      <c r="J48" s="449">
        <v>8.6820000000000004</v>
      </c>
      <c r="K48" s="453">
        <f t="shared" si="1"/>
        <v>8282.6280000000006</v>
      </c>
      <c r="L48" s="454">
        <f t="shared" si="3"/>
        <v>-694.51199999999881</v>
      </c>
      <c r="M48" s="495">
        <v>0.99858000000000002</v>
      </c>
      <c r="N48" s="455">
        <f t="shared" si="2"/>
        <v>-693.52579295999885</v>
      </c>
      <c r="O48" s="366"/>
      <c r="P48" s="124"/>
    </row>
    <row r="49" spans="1:16" s="115" customFormat="1" ht="15" customHeight="1">
      <c r="A49" s="446" t="s">
        <v>141</v>
      </c>
      <c r="B49" s="446" t="s">
        <v>171</v>
      </c>
      <c r="C49" s="446" t="s">
        <v>53</v>
      </c>
      <c r="D49" s="447">
        <v>40589</v>
      </c>
      <c r="E49" s="448">
        <v>2650</v>
      </c>
      <c r="F49" s="449">
        <v>1.9948999999999999</v>
      </c>
      <c r="G49" s="450">
        <f t="shared" si="0"/>
        <v>5286.4849999999997</v>
      </c>
      <c r="H49" s="451"/>
      <c r="I49" s="497">
        <v>40597</v>
      </c>
      <c r="J49" s="449">
        <v>1.845</v>
      </c>
      <c r="K49" s="453">
        <f t="shared" si="1"/>
        <v>4889.25</v>
      </c>
      <c r="L49" s="454">
        <f t="shared" si="3"/>
        <v>-397.23499999999967</v>
      </c>
      <c r="M49" s="495">
        <v>0.99858000000000002</v>
      </c>
      <c r="N49" s="455">
        <f t="shared" si="2"/>
        <v>-396.67092629999968</v>
      </c>
      <c r="O49" s="366"/>
      <c r="P49" s="124"/>
    </row>
    <row r="50" spans="1:16" s="8" customFormat="1" ht="15" customHeight="1">
      <c r="A50" s="446" t="s">
        <v>172</v>
      </c>
      <c r="B50" s="446" t="s">
        <v>173</v>
      </c>
      <c r="C50" s="446" t="s">
        <v>53</v>
      </c>
      <c r="D50" s="447">
        <v>40595</v>
      </c>
      <c r="E50" s="448">
        <v>8000</v>
      </c>
      <c r="F50" s="449">
        <v>0.68</v>
      </c>
      <c r="G50" s="450">
        <f t="shared" si="0"/>
        <v>5440</v>
      </c>
      <c r="H50" s="502"/>
      <c r="I50" s="497">
        <v>40597</v>
      </c>
      <c r="J50" s="449">
        <v>0.62</v>
      </c>
      <c r="K50" s="453">
        <f t="shared" ref="K50:K63" si="4">SUM(E50*J50)</f>
        <v>4960</v>
      </c>
      <c r="L50" s="454">
        <f t="shared" si="3"/>
        <v>-480</v>
      </c>
      <c r="M50" s="495">
        <v>0.99858000000000002</v>
      </c>
      <c r="N50" s="455">
        <f t="shared" si="2"/>
        <v>-479.3184</v>
      </c>
      <c r="O50" s="362"/>
      <c r="P50" s="124"/>
    </row>
    <row r="51" spans="1:16" s="8" customFormat="1" ht="15" customHeight="1">
      <c r="A51" s="446" t="s">
        <v>174</v>
      </c>
      <c r="B51" s="446" t="s">
        <v>175</v>
      </c>
      <c r="C51" s="446" t="s">
        <v>53</v>
      </c>
      <c r="D51" s="447">
        <v>40590</v>
      </c>
      <c r="E51" s="448">
        <v>6000</v>
      </c>
      <c r="F51" s="449">
        <v>0.89</v>
      </c>
      <c r="G51" s="450">
        <f t="shared" si="0"/>
        <v>5340</v>
      </c>
      <c r="H51" s="503"/>
      <c r="I51" s="497">
        <v>40597</v>
      </c>
      <c r="J51" s="449">
        <v>0.86</v>
      </c>
      <c r="K51" s="453">
        <f t="shared" si="4"/>
        <v>5160</v>
      </c>
      <c r="L51" s="454">
        <f t="shared" si="3"/>
        <v>-180</v>
      </c>
      <c r="M51" s="495">
        <v>0.99858000000000002</v>
      </c>
      <c r="N51" s="455">
        <f t="shared" si="2"/>
        <v>-179.74440000000001</v>
      </c>
      <c r="O51" s="362"/>
      <c r="P51" s="124"/>
    </row>
    <row r="52" spans="1:16" s="8" customFormat="1" ht="15" customHeight="1">
      <c r="A52" s="446" t="s">
        <v>176</v>
      </c>
      <c r="B52" s="446" t="s">
        <v>177</v>
      </c>
      <c r="C52" s="446" t="s">
        <v>53</v>
      </c>
      <c r="D52" s="447">
        <v>40588</v>
      </c>
      <c r="E52" s="448">
        <v>750</v>
      </c>
      <c r="F52" s="449">
        <v>6.76</v>
      </c>
      <c r="G52" s="450">
        <f t="shared" si="0"/>
        <v>5070</v>
      </c>
      <c r="H52" s="503"/>
      <c r="I52" s="497">
        <v>40611</v>
      </c>
      <c r="J52" s="449">
        <v>6.14</v>
      </c>
      <c r="K52" s="453">
        <f t="shared" si="4"/>
        <v>4605</v>
      </c>
      <c r="L52" s="454">
        <f t="shared" si="3"/>
        <v>-465</v>
      </c>
      <c r="M52" s="495">
        <v>1.00966</v>
      </c>
      <c r="N52" s="455">
        <f t="shared" si="2"/>
        <v>-469.49189999999999</v>
      </c>
      <c r="O52" s="362"/>
      <c r="P52" s="124"/>
    </row>
    <row r="53" spans="1:16" s="8" customFormat="1" ht="15" customHeight="1">
      <c r="A53" s="446" t="s">
        <v>178</v>
      </c>
      <c r="B53" s="446" t="s">
        <v>179</v>
      </c>
      <c r="C53" s="446" t="s">
        <v>53</v>
      </c>
      <c r="D53" s="447">
        <v>40588</v>
      </c>
      <c r="E53" s="448">
        <v>2383</v>
      </c>
      <c r="F53" s="449">
        <v>5.34</v>
      </c>
      <c r="G53" s="450">
        <f t="shared" si="0"/>
        <v>12725.22</v>
      </c>
      <c r="H53" s="503"/>
      <c r="I53" s="497">
        <v>40612</v>
      </c>
      <c r="J53" s="449">
        <v>5.149</v>
      </c>
      <c r="K53" s="453">
        <f t="shared" si="4"/>
        <v>12270.067000000001</v>
      </c>
      <c r="L53" s="454">
        <f t="shared" si="3"/>
        <v>-455.15299999999843</v>
      </c>
      <c r="M53" s="495">
        <v>1.0105900000000001</v>
      </c>
      <c r="N53" s="455">
        <f t="shared" si="2"/>
        <v>-459.97307026999846</v>
      </c>
      <c r="O53" s="362"/>
      <c r="P53" s="124"/>
    </row>
    <row r="54" spans="1:16" s="8" customFormat="1" ht="15" customHeight="1">
      <c r="A54" s="446" t="s">
        <v>189</v>
      </c>
      <c r="B54" s="446" t="s">
        <v>190</v>
      </c>
      <c r="C54" s="446" t="s">
        <v>53</v>
      </c>
      <c r="D54" s="447">
        <v>40595</v>
      </c>
      <c r="E54" s="448">
        <v>790</v>
      </c>
      <c r="F54" s="449">
        <v>6.95</v>
      </c>
      <c r="G54" s="450">
        <f t="shared" si="0"/>
        <v>5490.5</v>
      </c>
      <c r="H54" s="504"/>
      <c r="I54" s="447">
        <v>40612</v>
      </c>
      <c r="J54" s="500">
        <v>6.33</v>
      </c>
      <c r="K54" s="453">
        <f t="shared" si="4"/>
        <v>5000.7</v>
      </c>
      <c r="L54" s="454">
        <f t="shared" si="3"/>
        <v>-489.80000000000018</v>
      </c>
      <c r="M54" s="495">
        <v>1.0105900000000001</v>
      </c>
      <c r="N54" s="455">
        <f t="shared" si="2"/>
        <v>-494.98698200000024</v>
      </c>
      <c r="O54" s="362"/>
      <c r="P54" s="124"/>
    </row>
    <row r="55" spans="1:16" s="8" customFormat="1" ht="15" customHeight="1">
      <c r="A55" s="446" t="s">
        <v>191</v>
      </c>
      <c r="B55" s="446" t="s">
        <v>192</v>
      </c>
      <c r="C55" s="446" t="s">
        <v>53</v>
      </c>
      <c r="D55" s="447">
        <v>40603</v>
      </c>
      <c r="E55" s="448">
        <v>350</v>
      </c>
      <c r="F55" s="449">
        <v>15.61</v>
      </c>
      <c r="G55" s="450">
        <f t="shared" si="0"/>
        <v>5463.5</v>
      </c>
      <c r="H55" s="504"/>
      <c r="I55" s="447">
        <v>40613</v>
      </c>
      <c r="J55" s="500">
        <v>14.37</v>
      </c>
      <c r="K55" s="453">
        <f t="shared" si="4"/>
        <v>5029.5</v>
      </c>
      <c r="L55" s="454">
        <f t="shared" si="3"/>
        <v>-434</v>
      </c>
      <c r="M55" s="495">
        <v>1.0005900000000001</v>
      </c>
      <c r="N55" s="455">
        <f t="shared" si="2"/>
        <v>-434.25606000000005</v>
      </c>
      <c r="O55" s="362"/>
      <c r="P55" s="119"/>
    </row>
    <row r="56" spans="1:16" s="8" customFormat="1" ht="15" customHeight="1">
      <c r="A56" s="446" t="s">
        <v>193</v>
      </c>
      <c r="B56" s="446" t="s">
        <v>194</v>
      </c>
      <c r="C56" s="446" t="s">
        <v>53</v>
      </c>
      <c r="D56" s="447">
        <v>40595</v>
      </c>
      <c r="E56" s="448">
        <v>340</v>
      </c>
      <c r="F56" s="449">
        <v>15.79</v>
      </c>
      <c r="G56" s="450">
        <f t="shared" si="0"/>
        <v>5368.5999999999995</v>
      </c>
      <c r="H56" s="504"/>
      <c r="I56" s="447">
        <v>40613</v>
      </c>
      <c r="J56" s="500">
        <v>15.19</v>
      </c>
      <c r="K56" s="453">
        <f t="shared" si="4"/>
        <v>5164.5999999999995</v>
      </c>
      <c r="L56" s="454">
        <f t="shared" si="3"/>
        <v>-204</v>
      </c>
      <c r="M56" s="495">
        <v>1.0005900000000001</v>
      </c>
      <c r="N56" s="455">
        <f t="shared" si="2"/>
        <v>-204.12036000000001</v>
      </c>
      <c r="O56" s="362"/>
      <c r="P56" s="119"/>
    </row>
    <row r="57" spans="1:16" s="8" customFormat="1" ht="15" customHeight="1">
      <c r="A57" s="446" t="s">
        <v>195</v>
      </c>
      <c r="B57" s="446" t="s">
        <v>196</v>
      </c>
      <c r="C57" s="446" t="s">
        <v>53</v>
      </c>
      <c r="D57" s="447">
        <v>40609</v>
      </c>
      <c r="E57" s="448">
        <v>238</v>
      </c>
      <c r="F57" s="449">
        <v>31.61</v>
      </c>
      <c r="G57" s="450">
        <f t="shared" si="0"/>
        <v>7523.18</v>
      </c>
      <c r="H57" s="504"/>
      <c r="I57" s="447">
        <v>40613</v>
      </c>
      <c r="J57" s="500">
        <v>30.06</v>
      </c>
      <c r="K57" s="453">
        <f t="shared" si="4"/>
        <v>7154.28</v>
      </c>
      <c r="L57" s="454">
        <f t="shared" si="3"/>
        <v>-368.90000000000055</v>
      </c>
      <c r="M57" s="495">
        <v>1.0005900000000001</v>
      </c>
      <c r="N57" s="455">
        <f t="shared" si="2"/>
        <v>-369.11765100000059</v>
      </c>
      <c r="O57" s="362"/>
      <c r="P57" s="119"/>
    </row>
    <row r="58" spans="1:16" s="8" customFormat="1" ht="15" customHeight="1">
      <c r="A58" s="446" t="s">
        <v>197</v>
      </c>
      <c r="B58" s="446" t="s">
        <v>270</v>
      </c>
      <c r="C58" s="446" t="s">
        <v>53</v>
      </c>
      <c r="D58" s="447">
        <v>40567</v>
      </c>
      <c r="E58" s="448">
        <v>11700</v>
      </c>
      <c r="F58" s="449">
        <v>0.57999999999999996</v>
      </c>
      <c r="G58" s="450">
        <f t="shared" si="0"/>
        <v>6785.9999999999991</v>
      </c>
      <c r="H58" s="504"/>
      <c r="I58" s="447">
        <v>40616</v>
      </c>
      <c r="J58" s="500">
        <v>0.54930000000000001</v>
      </c>
      <c r="K58" s="453">
        <f t="shared" si="4"/>
        <v>6426.81</v>
      </c>
      <c r="L58" s="454">
        <f t="shared" si="3"/>
        <v>-359.18999999999869</v>
      </c>
      <c r="M58" s="495">
        <v>1.01441</v>
      </c>
      <c r="N58" s="455">
        <f t="shared" si="2"/>
        <v>-364.36592789999867</v>
      </c>
      <c r="O58" s="362"/>
      <c r="P58" s="119"/>
    </row>
    <row r="59" spans="1:16" s="8" customFormat="1" ht="15" customHeight="1">
      <c r="A59" s="446" t="s">
        <v>198</v>
      </c>
      <c r="B59" s="446" t="s">
        <v>155</v>
      </c>
      <c r="C59" s="446" t="s">
        <v>53</v>
      </c>
      <c r="D59" s="447">
        <v>40608</v>
      </c>
      <c r="E59" s="448">
        <v>2445</v>
      </c>
      <c r="F59" s="449">
        <v>3.15</v>
      </c>
      <c r="G59" s="450">
        <f t="shared" si="0"/>
        <v>7701.75</v>
      </c>
      <c r="H59" s="504"/>
      <c r="I59" s="447">
        <v>40616</v>
      </c>
      <c r="J59" s="500">
        <v>3.04</v>
      </c>
      <c r="K59" s="453">
        <f t="shared" si="4"/>
        <v>7432.8</v>
      </c>
      <c r="L59" s="454">
        <f t="shared" si="3"/>
        <v>-268.94999999999982</v>
      </c>
      <c r="M59" s="495">
        <v>1.01441</v>
      </c>
      <c r="N59" s="455">
        <f t="shared" si="2"/>
        <v>-272.8255694999998</v>
      </c>
      <c r="O59" s="362"/>
      <c r="P59" s="119"/>
    </row>
    <row r="60" spans="1:16" s="8" customFormat="1" ht="15" customHeight="1">
      <c r="A60" s="446" t="s">
        <v>199</v>
      </c>
      <c r="B60" s="446" t="s">
        <v>200</v>
      </c>
      <c r="C60" s="446" t="s">
        <v>53</v>
      </c>
      <c r="D60" s="447">
        <v>40581</v>
      </c>
      <c r="E60" s="448">
        <v>5000</v>
      </c>
      <c r="F60" s="449">
        <v>1.595</v>
      </c>
      <c r="G60" s="450">
        <f t="shared" si="0"/>
        <v>7975</v>
      </c>
      <c r="H60" s="504"/>
      <c r="I60" s="447">
        <v>40618</v>
      </c>
      <c r="J60" s="500">
        <v>1.704</v>
      </c>
      <c r="K60" s="453">
        <f t="shared" si="4"/>
        <v>8520</v>
      </c>
      <c r="L60" s="454">
        <f t="shared" si="3"/>
        <v>545</v>
      </c>
      <c r="M60" s="495">
        <v>0.99051999999999996</v>
      </c>
      <c r="N60" s="455">
        <f t="shared" si="2"/>
        <v>539.83339999999998</v>
      </c>
      <c r="O60" s="362"/>
      <c r="P60" s="119"/>
    </row>
    <row r="61" spans="1:16" s="8" customFormat="1" ht="15" customHeight="1">
      <c r="A61" s="446" t="s">
        <v>201</v>
      </c>
      <c r="B61" s="446" t="s">
        <v>202</v>
      </c>
      <c r="C61" s="446" t="s">
        <v>53</v>
      </c>
      <c r="D61" s="447">
        <v>40604</v>
      </c>
      <c r="E61" s="448">
        <v>5160</v>
      </c>
      <c r="F61" s="449">
        <v>1.0649999999999999</v>
      </c>
      <c r="G61" s="450">
        <f t="shared" si="0"/>
        <v>5495.4</v>
      </c>
      <c r="H61" s="504"/>
      <c r="I61" s="447">
        <v>40618</v>
      </c>
      <c r="J61" s="500">
        <v>1.02</v>
      </c>
      <c r="K61" s="453">
        <f t="shared" si="4"/>
        <v>5263.2</v>
      </c>
      <c r="L61" s="454">
        <f t="shared" si="3"/>
        <v>-232.19999999999982</v>
      </c>
      <c r="M61" s="495">
        <v>0.99051999999999996</v>
      </c>
      <c r="N61" s="455">
        <f t="shared" si="2"/>
        <v>-229.99874399999982</v>
      </c>
      <c r="O61" s="362"/>
      <c r="P61" s="119"/>
    </row>
    <row r="62" spans="1:16" s="18" customFormat="1" ht="15" customHeight="1">
      <c r="A62" s="457" t="s">
        <v>137</v>
      </c>
      <c r="B62" s="457" t="s">
        <v>203</v>
      </c>
      <c r="C62" s="457" t="s">
        <v>78</v>
      </c>
      <c r="D62" s="458">
        <v>40617</v>
      </c>
      <c r="E62" s="459">
        <v>2750</v>
      </c>
      <c r="F62" s="460">
        <v>2</v>
      </c>
      <c r="G62" s="461">
        <f t="shared" si="0"/>
        <v>5500</v>
      </c>
      <c r="H62" s="468"/>
      <c r="I62" s="458">
        <v>40618</v>
      </c>
      <c r="J62" s="460">
        <v>2.1</v>
      </c>
      <c r="K62" s="464">
        <f>SUM(E62*J62)</f>
        <v>5775</v>
      </c>
      <c r="L62" s="465">
        <f>SUM(G62-K62)</f>
        <v>-275</v>
      </c>
      <c r="M62" s="495">
        <v>0.99051999999999996</v>
      </c>
      <c r="N62" s="467">
        <f t="shared" si="2"/>
        <v>-272.39299999999997</v>
      </c>
      <c r="O62" s="369"/>
      <c r="P62" s="120"/>
    </row>
    <row r="63" spans="1:16" s="8" customFormat="1" ht="15" customHeight="1">
      <c r="A63" s="446" t="s">
        <v>204</v>
      </c>
      <c r="B63" s="446" t="s">
        <v>205</v>
      </c>
      <c r="C63" s="446" t="s">
        <v>53</v>
      </c>
      <c r="D63" s="447">
        <v>40608</v>
      </c>
      <c r="E63" s="448">
        <v>2500</v>
      </c>
      <c r="F63" s="449">
        <v>0.72499999999999998</v>
      </c>
      <c r="G63" s="450">
        <f t="shared" si="0"/>
        <v>1812.5</v>
      </c>
      <c r="H63" s="504"/>
      <c r="I63" s="447">
        <v>40624</v>
      </c>
      <c r="J63" s="500">
        <v>0.57999999999999996</v>
      </c>
      <c r="K63" s="453">
        <f t="shared" si="4"/>
        <v>1450</v>
      </c>
      <c r="L63" s="454">
        <f>SUM(K63-G63)</f>
        <v>-362.5</v>
      </c>
      <c r="M63" s="495">
        <v>1.0061800000000001</v>
      </c>
      <c r="N63" s="455">
        <f t="shared" si="2"/>
        <v>-364.74025</v>
      </c>
      <c r="O63" s="362"/>
      <c r="P63" s="119"/>
    </row>
    <row r="64" spans="1:16" s="18" customFormat="1" ht="15" customHeight="1">
      <c r="A64" s="457" t="s">
        <v>206</v>
      </c>
      <c r="B64" s="457" t="s">
        <v>207</v>
      </c>
      <c r="C64" s="457" t="s">
        <v>78</v>
      </c>
      <c r="D64" s="458">
        <v>40603</v>
      </c>
      <c r="E64" s="459">
        <v>4505</v>
      </c>
      <c r="F64" s="460">
        <v>1.2</v>
      </c>
      <c r="G64" s="461">
        <f t="shared" si="0"/>
        <v>5406</v>
      </c>
      <c r="H64" s="468"/>
      <c r="I64" s="458">
        <v>40624</v>
      </c>
      <c r="J64" s="460">
        <v>1.2110000000000001</v>
      </c>
      <c r="K64" s="464">
        <f t="shared" ref="K64:K71" si="5">SUM(E64*J64)</f>
        <v>5455.5550000000003</v>
      </c>
      <c r="L64" s="465">
        <f t="shared" ref="L64:L71" si="6">SUM(G64-K64)</f>
        <v>-49.555000000000291</v>
      </c>
      <c r="M64" s="496">
        <v>1.0061800000000001</v>
      </c>
      <c r="N64" s="467">
        <f t="shared" si="2"/>
        <v>-49.861249900000296</v>
      </c>
      <c r="O64" s="369"/>
      <c r="P64" s="120"/>
    </row>
    <row r="65" spans="1:16" s="18" customFormat="1" ht="15" customHeight="1">
      <c r="A65" s="457" t="s">
        <v>208</v>
      </c>
      <c r="B65" s="457" t="s">
        <v>209</v>
      </c>
      <c r="C65" s="457" t="s">
        <v>78</v>
      </c>
      <c r="D65" s="458">
        <v>40617</v>
      </c>
      <c r="E65" s="459">
        <v>1675</v>
      </c>
      <c r="F65" s="460">
        <v>4.4450000000000003</v>
      </c>
      <c r="G65" s="461">
        <f t="shared" si="0"/>
        <v>7445.3750000000009</v>
      </c>
      <c r="H65" s="468"/>
      <c r="I65" s="458">
        <v>40626</v>
      </c>
      <c r="J65" s="460">
        <v>4.63</v>
      </c>
      <c r="K65" s="464">
        <f t="shared" si="5"/>
        <v>7755.25</v>
      </c>
      <c r="L65" s="465">
        <f t="shared" si="6"/>
        <v>-309.87499999999909</v>
      </c>
      <c r="M65" s="496">
        <v>1.01292</v>
      </c>
      <c r="N65" s="467">
        <f t="shared" si="2"/>
        <v>-313.87858499999908</v>
      </c>
      <c r="O65" s="369"/>
      <c r="P65" s="120"/>
    </row>
    <row r="66" spans="1:16" s="18" customFormat="1" ht="15" customHeight="1">
      <c r="A66" s="457" t="s">
        <v>210</v>
      </c>
      <c r="B66" s="457" t="s">
        <v>211</v>
      </c>
      <c r="C66" s="457" t="s">
        <v>78</v>
      </c>
      <c r="D66" s="458">
        <v>40613</v>
      </c>
      <c r="E66" s="459">
        <v>5620</v>
      </c>
      <c r="F66" s="460">
        <v>1.3046</v>
      </c>
      <c r="G66" s="461">
        <f>SUM(E66*F66)</f>
        <v>7331.8519999999999</v>
      </c>
      <c r="H66" s="468"/>
      <c r="I66" s="458">
        <v>40626</v>
      </c>
      <c r="J66" s="460">
        <v>1.415</v>
      </c>
      <c r="K66" s="464">
        <f t="shared" si="5"/>
        <v>7952.3</v>
      </c>
      <c r="L66" s="465">
        <f t="shared" si="6"/>
        <v>-620.44800000000032</v>
      </c>
      <c r="M66" s="496">
        <v>1.01292</v>
      </c>
      <c r="N66" s="467">
        <f t="shared" si="2"/>
        <v>-628.46418816000039</v>
      </c>
      <c r="O66" s="369"/>
      <c r="P66" s="120"/>
    </row>
    <row r="67" spans="1:16" s="18" customFormat="1" ht="15" customHeight="1">
      <c r="A67" s="457" t="s">
        <v>212</v>
      </c>
      <c r="B67" s="457" t="s">
        <v>213</v>
      </c>
      <c r="C67" s="457" t="s">
        <v>78</v>
      </c>
      <c r="D67" s="458">
        <v>40595</v>
      </c>
      <c r="E67" s="459">
        <v>1850</v>
      </c>
      <c r="F67" s="460">
        <v>2.93</v>
      </c>
      <c r="G67" s="461">
        <f>SUM(E67*F67)</f>
        <v>5420.5</v>
      </c>
      <c r="H67" s="468"/>
      <c r="I67" s="458">
        <v>40631</v>
      </c>
      <c r="J67" s="460">
        <v>3.0630000000000002</v>
      </c>
      <c r="K67" s="464">
        <f t="shared" si="5"/>
        <v>5666.55</v>
      </c>
      <c r="L67" s="465">
        <f t="shared" si="6"/>
        <v>-246.05000000000018</v>
      </c>
      <c r="M67" s="496">
        <v>1.0242500000000001</v>
      </c>
      <c r="N67" s="467">
        <f t="shared" si="2"/>
        <v>-252.01671250000021</v>
      </c>
      <c r="O67" s="369"/>
      <c r="P67" s="120"/>
    </row>
    <row r="68" spans="1:16" s="18" customFormat="1" ht="15" customHeight="1">
      <c r="A68" s="457" t="s">
        <v>214</v>
      </c>
      <c r="B68" s="457" t="s">
        <v>215</v>
      </c>
      <c r="C68" s="457" t="s">
        <v>78</v>
      </c>
      <c r="D68" s="458">
        <v>40610</v>
      </c>
      <c r="E68" s="459">
        <v>5980</v>
      </c>
      <c r="F68" s="460">
        <v>1.2549999999999999</v>
      </c>
      <c r="G68" s="461">
        <f t="shared" ref="G68:G99" si="7">SUM(E68*F68)</f>
        <v>7504.9</v>
      </c>
      <c r="H68" s="468"/>
      <c r="I68" s="458">
        <v>40631</v>
      </c>
      <c r="J68" s="460">
        <v>1.2629999999999999</v>
      </c>
      <c r="K68" s="464">
        <f t="shared" si="5"/>
        <v>7552.74</v>
      </c>
      <c r="L68" s="465">
        <f t="shared" si="6"/>
        <v>-47.840000000000146</v>
      </c>
      <c r="M68" s="496">
        <v>1.0242500000000001</v>
      </c>
      <c r="N68" s="467">
        <f t="shared" si="2"/>
        <v>-49.000120000000152</v>
      </c>
      <c r="O68" s="369"/>
      <c r="P68" s="120"/>
    </row>
    <row r="69" spans="1:16" s="18" customFormat="1" ht="15" customHeight="1">
      <c r="A69" s="457" t="s">
        <v>216</v>
      </c>
      <c r="B69" s="457" t="s">
        <v>149</v>
      </c>
      <c r="C69" s="457" t="s">
        <v>78</v>
      </c>
      <c r="D69" s="458">
        <v>40616</v>
      </c>
      <c r="E69" s="459">
        <v>792</v>
      </c>
      <c r="F69" s="460">
        <v>9.3670000000000009</v>
      </c>
      <c r="G69" s="461">
        <f t="shared" si="7"/>
        <v>7418.6640000000007</v>
      </c>
      <c r="H69" s="468"/>
      <c r="I69" s="458">
        <v>40631</v>
      </c>
      <c r="J69" s="460">
        <v>9.8800000000000008</v>
      </c>
      <c r="K69" s="464">
        <f t="shared" si="5"/>
        <v>7824.9600000000009</v>
      </c>
      <c r="L69" s="465">
        <f t="shared" si="6"/>
        <v>-406.29600000000028</v>
      </c>
      <c r="M69" s="496">
        <v>1.0242500000000001</v>
      </c>
      <c r="N69" s="467">
        <f t="shared" si="2"/>
        <v>-416.1486780000003</v>
      </c>
      <c r="O69" s="369"/>
      <c r="P69" s="120"/>
    </row>
    <row r="70" spans="1:16" s="18" customFormat="1" ht="15" customHeight="1">
      <c r="A70" s="457" t="s">
        <v>217</v>
      </c>
      <c r="B70" s="457" t="s">
        <v>218</v>
      </c>
      <c r="C70" s="457" t="s">
        <v>78</v>
      </c>
      <c r="D70" s="458">
        <v>40617</v>
      </c>
      <c r="E70" s="459">
        <v>1220</v>
      </c>
      <c r="F70" s="460">
        <v>6.1109999999999998</v>
      </c>
      <c r="G70" s="461">
        <f t="shared" si="7"/>
        <v>7455.42</v>
      </c>
      <c r="H70" s="468"/>
      <c r="I70" s="458">
        <v>40631</v>
      </c>
      <c r="J70" s="460">
        <v>6.62</v>
      </c>
      <c r="K70" s="464">
        <f t="shared" si="5"/>
        <v>8076.4000000000005</v>
      </c>
      <c r="L70" s="465">
        <f t="shared" si="6"/>
        <v>-620.98000000000047</v>
      </c>
      <c r="M70" s="496">
        <v>1.0242500000000001</v>
      </c>
      <c r="N70" s="467">
        <f t="shared" si="2"/>
        <v>-636.03876500000058</v>
      </c>
      <c r="O70" s="369"/>
      <c r="P70" s="120"/>
    </row>
    <row r="71" spans="1:16" s="18" customFormat="1" ht="15" customHeight="1">
      <c r="A71" s="457" t="s">
        <v>219</v>
      </c>
      <c r="B71" s="457" t="s">
        <v>219</v>
      </c>
      <c r="C71" s="457" t="s">
        <v>78</v>
      </c>
      <c r="D71" s="458">
        <v>40617</v>
      </c>
      <c r="E71" s="459">
        <v>1700</v>
      </c>
      <c r="F71" s="460">
        <v>3.22</v>
      </c>
      <c r="G71" s="461">
        <f t="shared" si="7"/>
        <v>5474</v>
      </c>
      <c r="H71" s="468"/>
      <c r="I71" s="458">
        <v>40637</v>
      </c>
      <c r="J71" s="460">
        <v>3.38</v>
      </c>
      <c r="K71" s="464">
        <f t="shared" si="5"/>
        <v>5746</v>
      </c>
      <c r="L71" s="465">
        <f t="shared" si="6"/>
        <v>-272</v>
      </c>
      <c r="M71" s="496">
        <v>1.0396799999999999</v>
      </c>
      <c r="N71" s="467">
        <f t="shared" si="2"/>
        <v>-282.79295999999999</v>
      </c>
      <c r="O71" s="369"/>
      <c r="P71" s="120"/>
    </row>
    <row r="72" spans="1:16" s="8" customFormat="1" ht="15" customHeight="1">
      <c r="A72" s="446" t="s">
        <v>154</v>
      </c>
      <c r="B72" s="446" t="s">
        <v>155</v>
      </c>
      <c r="C72" s="446" t="s">
        <v>53</v>
      </c>
      <c r="D72" s="447">
        <v>40637</v>
      </c>
      <c r="E72" s="448">
        <v>1775</v>
      </c>
      <c r="F72" s="449">
        <v>3.12</v>
      </c>
      <c r="G72" s="450">
        <f t="shared" si="7"/>
        <v>5538</v>
      </c>
      <c r="H72" s="504"/>
      <c r="I72" s="447">
        <v>40646</v>
      </c>
      <c r="J72" s="500">
        <v>2.96</v>
      </c>
      <c r="K72" s="453">
        <f>SUM(E72*J72)</f>
        <v>5254</v>
      </c>
      <c r="L72" s="454">
        <f>SUM(K72-G72)</f>
        <v>-284</v>
      </c>
      <c r="M72" s="495">
        <v>1.04348</v>
      </c>
      <c r="N72" s="455">
        <f t="shared" si="2"/>
        <v>-296.34832</v>
      </c>
      <c r="O72" s="362"/>
      <c r="P72" s="119"/>
    </row>
    <row r="73" spans="1:16" s="8" customFormat="1" ht="15" customHeight="1">
      <c r="A73" s="446" t="s">
        <v>220</v>
      </c>
      <c r="B73" s="446" t="s">
        <v>221</v>
      </c>
      <c r="C73" s="446" t="s">
        <v>53</v>
      </c>
      <c r="D73" s="447">
        <v>40632</v>
      </c>
      <c r="E73" s="448">
        <v>1428</v>
      </c>
      <c r="F73" s="449">
        <v>4.2</v>
      </c>
      <c r="G73" s="450">
        <f t="shared" si="7"/>
        <v>5997.6</v>
      </c>
      <c r="H73" s="504"/>
      <c r="I73" s="447">
        <v>40646</v>
      </c>
      <c r="J73" s="500">
        <v>4.09</v>
      </c>
      <c r="K73" s="453">
        <f>SUM(E73*J73)</f>
        <v>5840.5199999999995</v>
      </c>
      <c r="L73" s="454">
        <f>SUM(K73-G73)</f>
        <v>-157.08000000000084</v>
      </c>
      <c r="M73" s="495">
        <v>1.04348</v>
      </c>
      <c r="N73" s="455">
        <f t="shared" si="2"/>
        <v>-163.90983840000087</v>
      </c>
      <c r="O73" s="362"/>
      <c r="P73" s="119"/>
    </row>
    <row r="74" spans="1:16" s="18" customFormat="1" ht="15" customHeight="1">
      <c r="A74" s="457" t="s">
        <v>12</v>
      </c>
      <c r="B74" s="457" t="s">
        <v>13</v>
      </c>
      <c r="C74" s="457" t="s">
        <v>78</v>
      </c>
      <c r="D74" s="458">
        <v>40602</v>
      </c>
      <c r="E74" s="459">
        <v>5250</v>
      </c>
      <c r="F74" s="460">
        <v>1.05</v>
      </c>
      <c r="G74" s="461">
        <f t="shared" si="7"/>
        <v>5512.5</v>
      </c>
      <c r="H74" s="468"/>
      <c r="I74" s="458">
        <v>40646</v>
      </c>
      <c r="J74" s="460">
        <v>1.1200000000000001</v>
      </c>
      <c r="K74" s="464">
        <f>SUM(E74*J74)</f>
        <v>5880.0000000000009</v>
      </c>
      <c r="L74" s="465">
        <f>SUM(G74-K74)</f>
        <v>-367.50000000000091</v>
      </c>
      <c r="M74" s="495">
        <v>1.04348</v>
      </c>
      <c r="N74" s="467">
        <f t="shared" si="2"/>
        <v>-383.47890000000092</v>
      </c>
      <c r="O74" s="369"/>
      <c r="P74" s="120"/>
    </row>
    <row r="75" spans="1:16" s="8" customFormat="1" ht="15" customHeight="1">
      <c r="A75" s="446" t="s">
        <v>222</v>
      </c>
      <c r="B75" s="446" t="s">
        <v>223</v>
      </c>
      <c r="C75" s="446" t="s">
        <v>53</v>
      </c>
      <c r="D75" s="447">
        <v>40634</v>
      </c>
      <c r="E75" s="448">
        <v>587</v>
      </c>
      <c r="F75" s="449">
        <v>9.4600000000000009</v>
      </c>
      <c r="G75" s="450">
        <f t="shared" si="7"/>
        <v>5553.02</v>
      </c>
      <c r="H75" s="504"/>
      <c r="I75" s="447">
        <v>40646</v>
      </c>
      <c r="J75" s="500">
        <v>9.14</v>
      </c>
      <c r="K75" s="453">
        <f t="shared" ref="K75:K80" si="8">SUM(E75*J75)</f>
        <v>5365.18</v>
      </c>
      <c r="L75" s="454">
        <f t="shared" ref="L75:L81" si="9">SUM(K75-G75)</f>
        <v>-187.84000000000015</v>
      </c>
      <c r="M75" s="495">
        <v>1.04348</v>
      </c>
      <c r="N75" s="455">
        <f t="shared" si="2"/>
        <v>-196.00728320000013</v>
      </c>
      <c r="O75" s="362"/>
      <c r="P75" s="119"/>
    </row>
    <row r="76" spans="1:16" s="8" customFormat="1" ht="15" customHeight="1">
      <c r="A76" s="446" t="s">
        <v>224</v>
      </c>
      <c r="B76" s="446" t="s">
        <v>225</v>
      </c>
      <c r="C76" s="446" t="s">
        <v>53</v>
      </c>
      <c r="D76" s="447">
        <v>40639</v>
      </c>
      <c r="E76" s="448">
        <v>1575</v>
      </c>
      <c r="F76" s="449">
        <v>3.52</v>
      </c>
      <c r="G76" s="450">
        <f t="shared" si="7"/>
        <v>5544</v>
      </c>
      <c r="H76" s="504"/>
      <c r="I76" s="447">
        <v>40646</v>
      </c>
      <c r="J76" s="500">
        <v>3.39</v>
      </c>
      <c r="K76" s="453">
        <f t="shared" si="8"/>
        <v>5339.25</v>
      </c>
      <c r="L76" s="454">
        <f t="shared" si="9"/>
        <v>-204.75</v>
      </c>
      <c r="M76" s="495">
        <v>1.04348</v>
      </c>
      <c r="N76" s="455">
        <f t="shared" si="2"/>
        <v>-213.65252999999998</v>
      </c>
      <c r="O76" s="362"/>
      <c r="P76" s="119"/>
    </row>
    <row r="77" spans="1:16" s="8" customFormat="1" ht="15" customHeight="1">
      <c r="A77" s="446" t="s">
        <v>226</v>
      </c>
      <c r="B77" s="446" t="s">
        <v>227</v>
      </c>
      <c r="C77" s="446" t="s">
        <v>53</v>
      </c>
      <c r="D77" s="447">
        <v>40644</v>
      </c>
      <c r="E77" s="448">
        <v>948</v>
      </c>
      <c r="F77" s="449">
        <v>5.81</v>
      </c>
      <c r="G77" s="450">
        <f t="shared" si="7"/>
        <v>5507.8799999999992</v>
      </c>
      <c r="H77" s="504"/>
      <c r="I77" s="447">
        <v>40646</v>
      </c>
      <c r="J77" s="500">
        <v>5.59</v>
      </c>
      <c r="K77" s="453">
        <f t="shared" si="8"/>
        <v>5299.32</v>
      </c>
      <c r="L77" s="454">
        <f t="shared" si="9"/>
        <v>-208.55999999999949</v>
      </c>
      <c r="M77" s="495">
        <v>1.04348</v>
      </c>
      <c r="N77" s="455">
        <f t="shared" si="2"/>
        <v>-217.62818879999946</v>
      </c>
      <c r="O77" s="362"/>
      <c r="P77" s="119"/>
    </row>
    <row r="78" spans="1:16" s="8" customFormat="1" ht="15" customHeight="1">
      <c r="A78" s="446" t="s">
        <v>228</v>
      </c>
      <c r="B78" s="446" t="s">
        <v>229</v>
      </c>
      <c r="C78" s="446" t="s">
        <v>53</v>
      </c>
      <c r="D78" s="447">
        <v>40644</v>
      </c>
      <c r="E78" s="448">
        <v>1220</v>
      </c>
      <c r="F78" s="449">
        <v>4.95</v>
      </c>
      <c r="G78" s="450">
        <f t="shared" si="7"/>
        <v>6039</v>
      </c>
      <c r="H78" s="504"/>
      <c r="I78" s="447">
        <v>40646</v>
      </c>
      <c r="J78" s="500">
        <v>4.7750000000000004</v>
      </c>
      <c r="K78" s="453">
        <f t="shared" si="8"/>
        <v>5825.5</v>
      </c>
      <c r="L78" s="454">
        <f t="shared" si="9"/>
        <v>-213.5</v>
      </c>
      <c r="M78" s="495">
        <v>1.04348</v>
      </c>
      <c r="N78" s="455">
        <f t="shared" si="2"/>
        <v>-222.78297999999998</v>
      </c>
      <c r="O78" s="362"/>
      <c r="P78" s="119"/>
    </row>
    <row r="79" spans="1:16" s="8" customFormat="1" ht="15" customHeight="1">
      <c r="A79" s="446" t="s">
        <v>235</v>
      </c>
      <c r="B79" s="446" t="s">
        <v>236</v>
      </c>
      <c r="C79" s="446" t="s">
        <v>53</v>
      </c>
      <c r="D79" s="447">
        <v>40644</v>
      </c>
      <c r="E79" s="448">
        <v>2238</v>
      </c>
      <c r="F79" s="449">
        <v>2.7</v>
      </c>
      <c r="G79" s="450">
        <f>SUM(E79*F79)</f>
        <v>6042.6</v>
      </c>
      <c r="H79" s="504"/>
      <c r="I79" s="447">
        <v>40651</v>
      </c>
      <c r="J79" s="449">
        <v>2.35</v>
      </c>
      <c r="K79" s="453">
        <f>SUM(E79*J79)</f>
        <v>5259.3</v>
      </c>
      <c r="L79" s="454">
        <f t="shared" si="9"/>
        <v>-783.30000000000018</v>
      </c>
      <c r="M79" s="495">
        <v>1.05609</v>
      </c>
      <c r="N79" s="455">
        <f>SUM(L79*M79)</f>
        <v>-827.23529700000017</v>
      </c>
      <c r="O79" s="362"/>
      <c r="P79" s="119"/>
    </row>
    <row r="80" spans="1:16" s="8" customFormat="1" ht="15" customHeight="1">
      <c r="A80" s="498" t="s">
        <v>230</v>
      </c>
      <c r="B80" s="446" t="s">
        <v>231</v>
      </c>
      <c r="C80" s="14" t="s">
        <v>53</v>
      </c>
      <c r="D80" s="447">
        <v>40581</v>
      </c>
      <c r="E80" s="448">
        <v>4000</v>
      </c>
      <c r="F80" s="449">
        <v>1.625</v>
      </c>
      <c r="G80" s="450">
        <f t="shared" si="7"/>
        <v>6500</v>
      </c>
      <c r="H80" s="504"/>
      <c r="I80" s="447">
        <v>40652</v>
      </c>
      <c r="J80" s="500">
        <v>1.847</v>
      </c>
      <c r="K80" s="453">
        <f t="shared" si="8"/>
        <v>7388</v>
      </c>
      <c r="L80" s="454">
        <f t="shared" si="9"/>
        <v>888</v>
      </c>
      <c r="M80" s="495">
        <v>1.0509500000000001</v>
      </c>
      <c r="N80" s="455">
        <f t="shared" si="2"/>
        <v>933.24360000000001</v>
      </c>
      <c r="O80" s="362"/>
      <c r="P80" s="119"/>
    </row>
    <row r="81" spans="1:16" s="8" customFormat="1" ht="15" customHeight="1">
      <c r="A81" s="446" t="s">
        <v>234</v>
      </c>
      <c r="B81" s="446" t="s">
        <v>194</v>
      </c>
      <c r="C81" s="446" t="s">
        <v>53</v>
      </c>
      <c r="D81" s="447">
        <v>40637</v>
      </c>
      <c r="E81" s="448">
        <v>382</v>
      </c>
      <c r="F81" s="449">
        <v>16.25</v>
      </c>
      <c r="G81" s="450">
        <f>SUM(E81*F81)</f>
        <v>6207.5</v>
      </c>
      <c r="H81" s="504"/>
      <c r="I81" s="447">
        <v>40652</v>
      </c>
      <c r="J81" s="449">
        <v>15.55</v>
      </c>
      <c r="K81" s="453">
        <f>SUM(E81*J81)</f>
        <v>5940.1</v>
      </c>
      <c r="L81" s="454">
        <f t="shared" si="9"/>
        <v>-267.39999999999964</v>
      </c>
      <c r="M81" s="495">
        <v>1.0509500000000001</v>
      </c>
      <c r="N81" s="455">
        <f>SUM(L81*M81)</f>
        <v>-281.02402999999964</v>
      </c>
      <c r="O81" s="362"/>
      <c r="P81" s="119"/>
    </row>
    <row r="82" spans="1:16" s="18" customFormat="1" ht="17.25" customHeight="1">
      <c r="A82" s="457" t="s">
        <v>232</v>
      </c>
      <c r="B82" s="457" t="s">
        <v>233</v>
      </c>
      <c r="C82" s="457" t="s">
        <v>78</v>
      </c>
      <c r="D82" s="458">
        <v>40617</v>
      </c>
      <c r="E82" s="459">
        <v>2465</v>
      </c>
      <c r="F82" s="460">
        <v>3.04</v>
      </c>
      <c r="G82" s="461">
        <f t="shared" si="7"/>
        <v>7493.6</v>
      </c>
      <c r="H82" s="468"/>
      <c r="I82" s="458">
        <v>40653</v>
      </c>
      <c r="J82" s="460">
        <v>3.13</v>
      </c>
      <c r="K82" s="464">
        <f>SUM(E82*J82)</f>
        <v>7715.45</v>
      </c>
      <c r="L82" s="465">
        <f>SUM(G82-K82)</f>
        <v>-221.84999999999945</v>
      </c>
      <c r="M82" s="496">
        <v>1.0523</v>
      </c>
      <c r="N82" s="467">
        <f t="shared" si="2"/>
        <v>-233.45275499999943</v>
      </c>
      <c r="O82" s="369"/>
      <c r="P82" s="120"/>
    </row>
    <row r="83" spans="1:16" s="18" customFormat="1" ht="15" customHeight="1">
      <c r="A83" s="457" t="s">
        <v>237</v>
      </c>
      <c r="B83" s="457" t="s">
        <v>238</v>
      </c>
      <c r="C83" s="457" t="s">
        <v>78</v>
      </c>
      <c r="D83" s="458">
        <v>40646</v>
      </c>
      <c r="E83" s="459">
        <v>4243</v>
      </c>
      <c r="F83" s="460">
        <v>1.2649999999999999</v>
      </c>
      <c r="G83" s="461">
        <f t="shared" si="7"/>
        <v>5367.3949999999995</v>
      </c>
      <c r="H83" s="468"/>
      <c r="I83" s="458">
        <v>40653</v>
      </c>
      <c r="J83" s="460">
        <v>1.365</v>
      </c>
      <c r="K83" s="464">
        <f>SUM(E83*J83)</f>
        <v>5791.6949999999997</v>
      </c>
      <c r="L83" s="465">
        <f>SUM(G83-K83)</f>
        <v>-424.30000000000018</v>
      </c>
      <c r="M83" s="496">
        <v>1.0523</v>
      </c>
      <c r="N83" s="467">
        <f t="shared" si="2"/>
        <v>-446.49089000000021</v>
      </c>
      <c r="O83" s="369"/>
      <c r="P83" s="120"/>
    </row>
    <row r="84" spans="1:16" s="8" customFormat="1" ht="15" customHeight="1">
      <c r="A84" s="498" t="s">
        <v>239</v>
      </c>
      <c r="B84" s="446" t="s">
        <v>240</v>
      </c>
      <c r="C84" s="446" t="s">
        <v>53</v>
      </c>
      <c r="D84" s="447">
        <v>40590</v>
      </c>
      <c r="E84" s="448">
        <v>10000</v>
      </c>
      <c r="F84" s="449">
        <v>1.25</v>
      </c>
      <c r="G84" s="450">
        <f t="shared" si="7"/>
        <v>12500</v>
      </c>
      <c r="H84" s="504"/>
      <c r="I84" s="447">
        <v>40661</v>
      </c>
      <c r="J84" s="449">
        <v>1.3939999999999999</v>
      </c>
      <c r="K84" s="453">
        <f t="shared" ref="K84:K113" si="10">SUM(E84*J84)</f>
        <v>13939.999999999998</v>
      </c>
      <c r="L84" s="454">
        <f t="shared" ref="L84:L93" si="11">SUM(K84-G84)</f>
        <v>1439.9999999999982</v>
      </c>
      <c r="M84" s="495">
        <v>1.0869800000000001</v>
      </c>
      <c r="N84" s="455">
        <f t="shared" si="2"/>
        <v>1565.2511999999981</v>
      </c>
      <c r="O84" s="362"/>
      <c r="P84" s="119"/>
    </row>
    <row r="85" spans="1:16" s="8" customFormat="1" ht="15" customHeight="1">
      <c r="A85" s="498" t="s">
        <v>241</v>
      </c>
      <c r="B85" s="446" t="s">
        <v>242</v>
      </c>
      <c r="C85" s="446" t="s">
        <v>53</v>
      </c>
      <c r="D85" s="447">
        <v>40595</v>
      </c>
      <c r="E85" s="448">
        <v>10300</v>
      </c>
      <c r="F85" s="449">
        <v>1.0649999999999999</v>
      </c>
      <c r="G85" s="450">
        <f t="shared" si="7"/>
        <v>10969.5</v>
      </c>
      <c r="H85" s="504"/>
      <c r="I85" s="447">
        <v>40661</v>
      </c>
      <c r="J85" s="449">
        <v>1.1970000000000001</v>
      </c>
      <c r="K85" s="453">
        <f t="shared" si="10"/>
        <v>12329.1</v>
      </c>
      <c r="L85" s="454">
        <f t="shared" si="11"/>
        <v>1359.6000000000004</v>
      </c>
      <c r="M85" s="495">
        <v>1.0869800000000001</v>
      </c>
      <c r="N85" s="455">
        <f t="shared" si="2"/>
        <v>1477.8580080000004</v>
      </c>
      <c r="O85" s="362"/>
      <c r="P85" s="119"/>
    </row>
    <row r="86" spans="1:16" s="8" customFormat="1" ht="15" customHeight="1">
      <c r="A86" s="446" t="s">
        <v>163</v>
      </c>
      <c r="B86" s="446" t="s">
        <v>164</v>
      </c>
      <c r="C86" s="446" t="s">
        <v>53</v>
      </c>
      <c r="D86" s="447">
        <v>40641</v>
      </c>
      <c r="E86" s="448">
        <v>201</v>
      </c>
      <c r="F86" s="449">
        <v>27.38</v>
      </c>
      <c r="G86" s="450">
        <f t="shared" si="7"/>
        <v>5503.38</v>
      </c>
      <c r="H86" s="504"/>
      <c r="I86" s="447">
        <v>40662</v>
      </c>
      <c r="J86" s="449">
        <v>26.5</v>
      </c>
      <c r="K86" s="453">
        <f t="shared" si="10"/>
        <v>5326.5</v>
      </c>
      <c r="L86" s="454">
        <f t="shared" si="11"/>
        <v>-176.88000000000011</v>
      </c>
      <c r="M86" s="495">
        <v>1.09263</v>
      </c>
      <c r="N86" s="455">
        <f t="shared" si="2"/>
        <v>-193.26439440000013</v>
      </c>
      <c r="O86" s="362"/>
      <c r="P86" s="119"/>
    </row>
    <row r="87" spans="1:16" s="8" customFormat="1" ht="15" customHeight="1">
      <c r="A87" s="446" t="s">
        <v>243</v>
      </c>
      <c r="B87" s="446" t="s">
        <v>243</v>
      </c>
      <c r="C87" s="446" t="s">
        <v>53</v>
      </c>
      <c r="D87" s="447">
        <v>40644</v>
      </c>
      <c r="E87" s="448">
        <v>153</v>
      </c>
      <c r="F87" s="449">
        <v>49.03</v>
      </c>
      <c r="G87" s="450">
        <f t="shared" si="7"/>
        <v>7501.59</v>
      </c>
      <c r="H87" s="504"/>
      <c r="I87" s="447">
        <v>40662</v>
      </c>
      <c r="J87" s="449">
        <v>46.37</v>
      </c>
      <c r="K87" s="453">
        <f t="shared" si="10"/>
        <v>7094.61</v>
      </c>
      <c r="L87" s="454">
        <f t="shared" si="11"/>
        <v>-406.98000000000047</v>
      </c>
      <c r="M87" s="495">
        <v>1.09263</v>
      </c>
      <c r="N87" s="455">
        <f t="shared" si="2"/>
        <v>-444.6785574000005</v>
      </c>
      <c r="O87" s="362"/>
      <c r="P87" s="119"/>
    </row>
    <row r="88" spans="1:16" s="8" customFormat="1" ht="15" customHeight="1">
      <c r="A88" s="446" t="s">
        <v>244</v>
      </c>
      <c r="B88" s="446" t="s">
        <v>245</v>
      </c>
      <c r="C88" s="446" t="s">
        <v>53</v>
      </c>
      <c r="D88" s="447">
        <v>40623</v>
      </c>
      <c r="E88" s="448">
        <v>255</v>
      </c>
      <c r="F88" s="449">
        <v>45.22</v>
      </c>
      <c r="G88" s="450">
        <f t="shared" si="7"/>
        <v>11531.1</v>
      </c>
      <c r="H88" s="504"/>
      <c r="I88" s="447">
        <v>40666</v>
      </c>
      <c r="J88" s="449">
        <v>45.35</v>
      </c>
      <c r="K88" s="453">
        <f t="shared" si="10"/>
        <v>11564.25</v>
      </c>
      <c r="L88" s="454">
        <f t="shared" si="11"/>
        <v>33.149999999999636</v>
      </c>
      <c r="M88" s="495">
        <v>1.0943000000000001</v>
      </c>
      <c r="N88" s="455">
        <f t="shared" si="2"/>
        <v>36.276044999999606</v>
      </c>
      <c r="O88" s="362"/>
      <c r="P88" s="119"/>
    </row>
    <row r="89" spans="1:16" s="8" customFormat="1" ht="15" customHeight="1">
      <c r="A89" s="446" t="s">
        <v>246</v>
      </c>
      <c r="B89" s="446" t="s">
        <v>247</v>
      </c>
      <c r="C89" s="446" t="s">
        <v>53</v>
      </c>
      <c r="D89" s="447">
        <v>40634</v>
      </c>
      <c r="E89" s="448">
        <v>481</v>
      </c>
      <c r="F89" s="449">
        <v>1.54</v>
      </c>
      <c r="G89" s="450">
        <f t="shared" si="7"/>
        <v>740.74</v>
      </c>
      <c r="H89" s="504"/>
      <c r="I89" s="447">
        <v>40666</v>
      </c>
      <c r="J89" s="449">
        <v>1.5209999999999999</v>
      </c>
      <c r="K89" s="453">
        <f t="shared" si="10"/>
        <v>731.601</v>
      </c>
      <c r="L89" s="454">
        <f t="shared" si="11"/>
        <v>-9.13900000000001</v>
      </c>
      <c r="M89" s="495">
        <v>1.0943000000000001</v>
      </c>
      <c r="N89" s="455">
        <f t="shared" si="2"/>
        <v>-10.000807700000012</v>
      </c>
      <c r="O89" s="362"/>
      <c r="P89" s="119"/>
    </row>
    <row r="90" spans="1:16" s="8" customFormat="1" ht="15" customHeight="1">
      <c r="A90" s="498" t="s">
        <v>248</v>
      </c>
      <c r="B90" s="446" t="s">
        <v>249</v>
      </c>
      <c r="C90" s="446" t="s">
        <v>53</v>
      </c>
      <c r="D90" s="447">
        <v>40632</v>
      </c>
      <c r="E90" s="448">
        <v>6122</v>
      </c>
      <c r="F90" s="449">
        <v>0.98</v>
      </c>
      <c r="G90" s="450">
        <f t="shared" si="7"/>
        <v>5999.5599999999995</v>
      </c>
      <c r="H90" s="504"/>
      <c r="I90" s="447">
        <v>40666</v>
      </c>
      <c r="J90" s="449">
        <v>0.93230000000000002</v>
      </c>
      <c r="K90" s="453">
        <f t="shared" si="10"/>
        <v>5707.5406000000003</v>
      </c>
      <c r="L90" s="454">
        <f t="shared" si="11"/>
        <v>-292.01939999999922</v>
      </c>
      <c r="M90" s="495">
        <v>1.0943000000000001</v>
      </c>
      <c r="N90" s="455">
        <f t="shared" si="2"/>
        <v>-319.55682941999919</v>
      </c>
      <c r="O90" s="362"/>
      <c r="P90" s="119"/>
    </row>
    <row r="91" spans="1:16" s="8" customFormat="1" ht="15" customHeight="1">
      <c r="A91" s="446" t="s">
        <v>174</v>
      </c>
      <c r="B91" s="446" t="s">
        <v>175</v>
      </c>
      <c r="C91" s="446" t="s">
        <v>53</v>
      </c>
      <c r="D91" s="447">
        <v>40660</v>
      </c>
      <c r="E91" s="448">
        <v>8287</v>
      </c>
      <c r="F91" s="449">
        <v>0.90500000000000003</v>
      </c>
      <c r="G91" s="450">
        <f t="shared" si="7"/>
        <v>7499.7350000000006</v>
      </c>
      <c r="H91" s="504"/>
      <c r="I91" s="447">
        <v>40667</v>
      </c>
      <c r="J91" s="449">
        <v>0.85250000000000004</v>
      </c>
      <c r="K91" s="453">
        <f t="shared" si="10"/>
        <v>7064.6675000000005</v>
      </c>
      <c r="L91" s="454">
        <f t="shared" si="11"/>
        <v>-435.06750000000011</v>
      </c>
      <c r="M91" s="495">
        <v>1.0843799999999999</v>
      </c>
      <c r="N91" s="455">
        <f t="shared" si="2"/>
        <v>-471.77849565000008</v>
      </c>
      <c r="O91" s="362"/>
      <c r="P91" s="119"/>
    </row>
    <row r="92" spans="1:16" s="8" customFormat="1" ht="15" customHeight="1">
      <c r="A92" s="446" t="s">
        <v>189</v>
      </c>
      <c r="B92" s="446" t="s">
        <v>190</v>
      </c>
      <c r="C92" s="446" t="s">
        <v>53</v>
      </c>
      <c r="D92" s="447">
        <v>40641</v>
      </c>
      <c r="E92" s="448">
        <v>915</v>
      </c>
      <c r="F92" s="449">
        <v>6.97</v>
      </c>
      <c r="G92" s="450">
        <f t="shared" si="7"/>
        <v>6377.55</v>
      </c>
      <c r="H92" s="504"/>
      <c r="I92" s="447">
        <v>40668</v>
      </c>
      <c r="J92" s="449">
        <v>6.4779999999999998</v>
      </c>
      <c r="K92" s="453">
        <f t="shared" si="10"/>
        <v>5927.37</v>
      </c>
      <c r="L92" s="454">
        <f t="shared" si="11"/>
        <v>-450.18000000000029</v>
      </c>
      <c r="M92" s="495">
        <v>1.0744</v>
      </c>
      <c r="N92" s="455">
        <f t="shared" si="2"/>
        <v>-483.67339200000032</v>
      </c>
      <c r="O92" s="362"/>
      <c r="P92" s="119"/>
    </row>
    <row r="93" spans="1:16" s="8" customFormat="1" ht="15" customHeight="1">
      <c r="A93" s="498" t="s">
        <v>195</v>
      </c>
      <c r="B93" s="446" t="s">
        <v>196</v>
      </c>
      <c r="C93" s="446" t="s">
        <v>53</v>
      </c>
      <c r="D93" s="447">
        <v>40632</v>
      </c>
      <c r="E93" s="448">
        <v>176</v>
      </c>
      <c r="F93" s="449">
        <v>31.56</v>
      </c>
      <c r="G93" s="450">
        <f t="shared" si="7"/>
        <v>5554.5599999999995</v>
      </c>
      <c r="H93" s="504"/>
      <c r="I93" s="447">
        <v>40669</v>
      </c>
      <c r="J93" s="449">
        <v>30.02</v>
      </c>
      <c r="K93" s="453">
        <f t="shared" si="10"/>
        <v>5283.5199999999995</v>
      </c>
      <c r="L93" s="454">
        <f t="shared" si="11"/>
        <v>-271.03999999999996</v>
      </c>
      <c r="M93" s="495">
        <v>1.0578099999999999</v>
      </c>
      <c r="N93" s="455">
        <f t="shared" ref="N93:N156" si="12">SUM(L93*M93)</f>
        <v>-286.70882239999992</v>
      </c>
      <c r="O93" s="362"/>
      <c r="P93" s="119"/>
    </row>
    <row r="94" spans="1:16" s="18" customFormat="1" ht="15" customHeight="1">
      <c r="A94" s="457" t="s">
        <v>176</v>
      </c>
      <c r="B94" s="457" t="s">
        <v>177</v>
      </c>
      <c r="C94" s="457" t="s">
        <v>78</v>
      </c>
      <c r="D94" s="505">
        <v>40665</v>
      </c>
      <c r="E94" s="459">
        <v>1546</v>
      </c>
      <c r="F94" s="460">
        <v>4.8499999999999996</v>
      </c>
      <c r="G94" s="461">
        <f t="shared" si="7"/>
        <v>7498.0999999999995</v>
      </c>
      <c r="H94" s="468"/>
      <c r="I94" s="458">
        <v>40669</v>
      </c>
      <c r="J94" s="460">
        <v>5.53</v>
      </c>
      <c r="K94" s="464">
        <f>SUM(E94*J94)</f>
        <v>8549.380000000001</v>
      </c>
      <c r="L94" s="465">
        <f>SUM(G94-K94)</f>
        <v>-1051.2800000000016</v>
      </c>
      <c r="M94" s="496">
        <v>1.0578099999999999</v>
      </c>
      <c r="N94" s="467">
        <f t="shared" si="12"/>
        <v>-1112.0544968000015</v>
      </c>
      <c r="O94" s="369"/>
      <c r="P94" s="120"/>
    </row>
    <row r="95" spans="1:16" s="362" customFormat="1" ht="15" customHeight="1">
      <c r="A95" s="14" t="s">
        <v>250</v>
      </c>
      <c r="B95" s="506" t="s">
        <v>251</v>
      </c>
      <c r="C95" s="506" t="s">
        <v>53</v>
      </c>
      <c r="D95" s="507">
        <v>40631</v>
      </c>
      <c r="E95" s="508">
        <v>465</v>
      </c>
      <c r="F95" s="509">
        <v>13.01</v>
      </c>
      <c r="G95" s="450">
        <f t="shared" si="7"/>
        <v>6049.65</v>
      </c>
      <c r="H95" s="504"/>
      <c r="I95" s="507">
        <v>40672</v>
      </c>
      <c r="J95" s="509">
        <v>13.16</v>
      </c>
      <c r="K95" s="453">
        <f t="shared" si="10"/>
        <v>6119.4</v>
      </c>
      <c r="L95" s="454">
        <f>SUM(K95-G95)</f>
        <v>69.75</v>
      </c>
      <c r="M95" s="495">
        <v>1.07155</v>
      </c>
      <c r="N95" s="455">
        <f t="shared" si="12"/>
        <v>74.740612499999997</v>
      </c>
      <c r="P95" s="119"/>
    </row>
    <row r="96" spans="1:16" s="362" customFormat="1" ht="15" customHeight="1">
      <c r="A96" s="506" t="s">
        <v>252</v>
      </c>
      <c r="B96" s="506" t="s">
        <v>253</v>
      </c>
      <c r="C96" s="506" t="s">
        <v>53</v>
      </c>
      <c r="D96" s="507">
        <v>40665</v>
      </c>
      <c r="E96" s="508">
        <v>286</v>
      </c>
      <c r="F96" s="509">
        <v>19.48</v>
      </c>
      <c r="G96" s="450">
        <f t="shared" si="7"/>
        <v>5571.28</v>
      </c>
      <c r="H96" s="504"/>
      <c r="I96" s="507">
        <v>40673</v>
      </c>
      <c r="J96" s="509">
        <v>17.920000000000002</v>
      </c>
      <c r="K96" s="453">
        <f t="shared" si="10"/>
        <v>5125.1200000000008</v>
      </c>
      <c r="L96" s="454">
        <f>SUM(K96-G96)</f>
        <v>-446.15999999999894</v>
      </c>
      <c r="M96" s="495">
        <v>1.0805400000000001</v>
      </c>
      <c r="N96" s="455">
        <f t="shared" si="12"/>
        <v>-482.0937263999989</v>
      </c>
      <c r="P96" s="119"/>
    </row>
    <row r="97" spans="1:16" s="18" customFormat="1" ht="15" customHeight="1">
      <c r="A97" s="457" t="s">
        <v>256</v>
      </c>
      <c r="B97" s="457" t="s">
        <v>257</v>
      </c>
      <c r="C97" s="457" t="s">
        <v>78</v>
      </c>
      <c r="D97" s="458">
        <v>40666</v>
      </c>
      <c r="E97" s="459">
        <v>1073</v>
      </c>
      <c r="F97" s="460">
        <v>6.99</v>
      </c>
      <c r="G97" s="461">
        <f>SUM(E97*F97)</f>
        <v>7500.27</v>
      </c>
      <c r="H97" s="468"/>
      <c r="I97" s="458">
        <v>40673</v>
      </c>
      <c r="J97" s="460">
        <v>7.91</v>
      </c>
      <c r="K97" s="464">
        <f>SUM(E97*J97)</f>
        <v>8487.43</v>
      </c>
      <c r="L97" s="465">
        <f>SUM(G97-K97)</f>
        <v>-987.15999999999985</v>
      </c>
      <c r="M97" s="496">
        <v>1.0805400000000001</v>
      </c>
      <c r="N97" s="467">
        <f>SUM(L97*M97)</f>
        <v>-1066.6658663999999</v>
      </c>
      <c r="O97" s="369"/>
      <c r="P97" s="120"/>
    </row>
    <row r="98" spans="1:16" s="8" customFormat="1" ht="15" customHeight="1">
      <c r="A98" s="446" t="s">
        <v>254</v>
      </c>
      <c r="B98" s="446" t="s">
        <v>255</v>
      </c>
      <c r="C98" s="446" t="s">
        <v>53</v>
      </c>
      <c r="D98" s="447">
        <v>40644</v>
      </c>
      <c r="E98" s="448">
        <v>3965</v>
      </c>
      <c r="F98" s="449">
        <v>1.52</v>
      </c>
      <c r="G98" s="450">
        <f t="shared" si="7"/>
        <v>6026.8</v>
      </c>
      <c r="H98" s="504"/>
      <c r="I98" s="447">
        <v>40675</v>
      </c>
      <c r="J98" s="449">
        <v>1.42</v>
      </c>
      <c r="K98" s="453">
        <f t="shared" si="10"/>
        <v>5630.2999999999993</v>
      </c>
      <c r="L98" s="454">
        <f>SUM(K98-G98)</f>
        <v>-396.50000000000091</v>
      </c>
      <c r="M98" s="495">
        <v>1.06952</v>
      </c>
      <c r="N98" s="455">
        <f t="shared" si="12"/>
        <v>-424.06468000000098</v>
      </c>
      <c r="O98" s="362"/>
      <c r="P98" s="119"/>
    </row>
    <row r="99" spans="1:16" s="8" customFormat="1" ht="15" customHeight="1">
      <c r="A99" s="446" t="s">
        <v>254</v>
      </c>
      <c r="B99" s="446" t="s">
        <v>255</v>
      </c>
      <c r="C99" s="446" t="s">
        <v>53</v>
      </c>
      <c r="D99" s="447">
        <v>40672</v>
      </c>
      <c r="E99" s="448">
        <v>1587</v>
      </c>
      <c r="F99" s="449">
        <v>1.575</v>
      </c>
      <c r="G99" s="450">
        <f t="shared" si="7"/>
        <v>2499.5250000000001</v>
      </c>
      <c r="H99" s="504"/>
      <c r="I99" s="447">
        <v>40675</v>
      </c>
      <c r="J99" s="449">
        <v>1.42</v>
      </c>
      <c r="K99" s="453">
        <f t="shared" si="10"/>
        <v>2253.54</v>
      </c>
      <c r="L99" s="454">
        <f>SUM(K99-G99)</f>
        <v>-245.98500000000013</v>
      </c>
      <c r="M99" s="495">
        <v>1.06952</v>
      </c>
      <c r="N99" s="455">
        <f t="shared" si="12"/>
        <v>-263.08587720000014</v>
      </c>
      <c r="O99" s="362"/>
      <c r="P99" s="119"/>
    </row>
    <row r="100" spans="1:16" s="8" customFormat="1" ht="15" customHeight="1">
      <c r="A100" s="446" t="s">
        <v>258</v>
      </c>
      <c r="B100" s="446" t="s">
        <v>259</v>
      </c>
      <c r="C100" s="446" t="s">
        <v>53</v>
      </c>
      <c r="D100" s="447">
        <v>40634</v>
      </c>
      <c r="E100" s="448">
        <v>1046</v>
      </c>
      <c r="F100" s="449">
        <v>6.85</v>
      </c>
      <c r="G100" s="450">
        <f t="shared" ref="G100:G131" si="13">SUM(E100*F100)</f>
        <v>7165.0999999999995</v>
      </c>
      <c r="H100" s="504"/>
      <c r="I100" s="447">
        <v>40676</v>
      </c>
      <c r="J100" s="449">
        <v>6.8449999999999998</v>
      </c>
      <c r="K100" s="453">
        <f t="shared" si="10"/>
        <v>7159.87</v>
      </c>
      <c r="L100" s="454">
        <f t="shared" ref="L100:L106" si="14">SUM(K100-G100)</f>
        <v>-5.2299999999995634</v>
      </c>
      <c r="M100" s="495">
        <v>1.0673999999999999</v>
      </c>
      <c r="N100" s="455">
        <f t="shared" si="12"/>
        <v>-5.5825019999995336</v>
      </c>
      <c r="O100" s="362"/>
      <c r="P100" s="119"/>
    </row>
    <row r="101" spans="1:16" s="8" customFormat="1" ht="15" customHeight="1">
      <c r="A101" s="446" t="s">
        <v>260</v>
      </c>
      <c r="B101" s="446" t="s">
        <v>261</v>
      </c>
      <c r="C101" s="446" t="s">
        <v>53</v>
      </c>
      <c r="D101" s="447">
        <v>40639</v>
      </c>
      <c r="E101" s="448">
        <v>393</v>
      </c>
      <c r="F101" s="449">
        <v>13.96</v>
      </c>
      <c r="G101" s="450">
        <f t="shared" si="13"/>
        <v>5486.2800000000007</v>
      </c>
      <c r="H101" s="504"/>
      <c r="I101" s="447">
        <v>40679</v>
      </c>
      <c r="J101" s="449">
        <v>13.285</v>
      </c>
      <c r="K101" s="453">
        <f t="shared" si="10"/>
        <v>5221.0050000000001</v>
      </c>
      <c r="L101" s="454">
        <f t="shared" si="14"/>
        <v>-265.27500000000055</v>
      </c>
      <c r="M101" s="495">
        <v>1.05749</v>
      </c>
      <c r="N101" s="455">
        <f t="shared" si="12"/>
        <v>-280.52565975000061</v>
      </c>
      <c r="O101" s="362"/>
      <c r="P101" s="119"/>
    </row>
    <row r="102" spans="1:16" s="8" customFormat="1" ht="15" customHeight="1">
      <c r="A102" s="446" t="s">
        <v>262</v>
      </c>
      <c r="B102" s="446" t="s">
        <v>263</v>
      </c>
      <c r="C102" s="446" t="s">
        <v>53</v>
      </c>
      <c r="D102" s="447">
        <v>40654</v>
      </c>
      <c r="E102" s="448">
        <v>18072</v>
      </c>
      <c r="F102" s="449">
        <v>0.42</v>
      </c>
      <c r="G102" s="450">
        <f t="shared" si="13"/>
        <v>7590.24</v>
      </c>
      <c r="H102" s="504"/>
      <c r="I102" s="447">
        <v>40679</v>
      </c>
      <c r="J102" s="449">
        <v>0.36380000000000001</v>
      </c>
      <c r="K102" s="453">
        <f t="shared" si="10"/>
        <v>6574.5936000000002</v>
      </c>
      <c r="L102" s="454">
        <f t="shared" si="14"/>
        <v>-1015.6463999999996</v>
      </c>
      <c r="M102" s="495">
        <v>1.05749</v>
      </c>
      <c r="N102" s="455">
        <f t="shared" si="12"/>
        <v>-1074.0359115359997</v>
      </c>
      <c r="O102" s="362"/>
      <c r="P102" s="119"/>
    </row>
    <row r="103" spans="1:16" s="8" customFormat="1" ht="15" customHeight="1">
      <c r="A103" s="446" t="s">
        <v>264</v>
      </c>
      <c r="B103" s="446" t="s">
        <v>265</v>
      </c>
      <c r="C103" s="446" t="s">
        <v>53</v>
      </c>
      <c r="D103" s="447">
        <v>40660</v>
      </c>
      <c r="E103" s="448">
        <v>278</v>
      </c>
      <c r="F103" s="449">
        <v>26.9</v>
      </c>
      <c r="G103" s="450">
        <f t="shared" si="13"/>
        <v>7478.2</v>
      </c>
      <c r="H103" s="504"/>
      <c r="I103" s="447">
        <v>40687</v>
      </c>
      <c r="J103" s="449">
        <v>26.15</v>
      </c>
      <c r="K103" s="453">
        <f t="shared" si="10"/>
        <v>7269.7</v>
      </c>
      <c r="L103" s="454">
        <f t="shared" si="14"/>
        <v>-208.5</v>
      </c>
      <c r="M103" s="495">
        <v>1.0505</v>
      </c>
      <c r="N103" s="455">
        <f t="shared" si="12"/>
        <v>-219.02924999999999</v>
      </c>
      <c r="O103" s="362"/>
      <c r="P103" s="119"/>
    </row>
    <row r="104" spans="1:16" s="8" customFormat="1" ht="15" customHeight="1">
      <c r="A104" s="446" t="s">
        <v>266</v>
      </c>
      <c r="B104" s="446" t="s">
        <v>267</v>
      </c>
      <c r="C104" s="446" t="s">
        <v>53</v>
      </c>
      <c r="D104" s="447">
        <v>40673</v>
      </c>
      <c r="E104" s="448">
        <v>1336</v>
      </c>
      <c r="F104" s="449">
        <v>3.74</v>
      </c>
      <c r="G104" s="450">
        <f t="shared" si="13"/>
        <v>4996.6400000000003</v>
      </c>
      <c r="H104" s="504"/>
      <c r="I104" s="447">
        <v>40688</v>
      </c>
      <c r="J104" s="449">
        <v>3.552</v>
      </c>
      <c r="K104" s="453">
        <f t="shared" si="10"/>
        <v>4745.4719999999998</v>
      </c>
      <c r="L104" s="454">
        <f t="shared" si="14"/>
        <v>-251.16800000000057</v>
      </c>
      <c r="M104" s="495">
        <v>1.05579</v>
      </c>
      <c r="N104" s="455">
        <f t="shared" si="12"/>
        <v>-265.18066272000061</v>
      </c>
      <c r="O104" s="362"/>
      <c r="P104" s="119"/>
    </row>
    <row r="105" spans="1:16" s="8" customFormat="1" ht="15" customHeight="1">
      <c r="A105" s="446" t="s">
        <v>268</v>
      </c>
      <c r="B105" s="446" t="s">
        <v>269</v>
      </c>
      <c r="C105" s="446" t="s">
        <v>53</v>
      </c>
      <c r="D105" s="447">
        <v>40638</v>
      </c>
      <c r="E105" s="448">
        <v>7250</v>
      </c>
      <c r="F105" s="449">
        <v>2.08</v>
      </c>
      <c r="G105" s="450">
        <f t="shared" si="13"/>
        <v>15080</v>
      </c>
      <c r="H105" s="504"/>
      <c r="I105" s="447">
        <v>40689</v>
      </c>
      <c r="J105" s="449">
        <v>2.1680000000000001</v>
      </c>
      <c r="K105" s="453">
        <f t="shared" si="10"/>
        <v>15718.000000000002</v>
      </c>
      <c r="L105" s="454">
        <f t="shared" si="14"/>
        <v>638.00000000000182</v>
      </c>
      <c r="M105" s="495">
        <v>1.0530299999999999</v>
      </c>
      <c r="N105" s="455">
        <f t="shared" si="12"/>
        <v>671.83314000000189</v>
      </c>
      <c r="O105" s="362"/>
      <c r="P105" s="119"/>
    </row>
    <row r="106" spans="1:16" s="8" customFormat="1" ht="15" customHeight="1">
      <c r="A106" s="446" t="s">
        <v>197</v>
      </c>
      <c r="B106" s="446" t="s">
        <v>270</v>
      </c>
      <c r="C106" s="446" t="s">
        <v>53</v>
      </c>
      <c r="D106" s="447">
        <v>40660</v>
      </c>
      <c r="E106" s="448">
        <v>9230</v>
      </c>
      <c r="F106" s="449">
        <v>0.65</v>
      </c>
      <c r="G106" s="450">
        <f t="shared" si="13"/>
        <v>5999.5</v>
      </c>
      <c r="H106" s="504"/>
      <c r="I106" s="447">
        <v>40689</v>
      </c>
      <c r="J106" s="449">
        <v>0.60709999999999997</v>
      </c>
      <c r="K106" s="453">
        <f t="shared" si="10"/>
        <v>5603.5329999999994</v>
      </c>
      <c r="L106" s="454">
        <f t="shared" si="14"/>
        <v>-395.96700000000055</v>
      </c>
      <c r="M106" s="495">
        <v>1.0530299999999999</v>
      </c>
      <c r="N106" s="455">
        <f t="shared" si="12"/>
        <v>-416.96513001000056</v>
      </c>
      <c r="O106" s="362"/>
      <c r="P106" s="119"/>
    </row>
    <row r="107" spans="1:16" s="18" customFormat="1" ht="15" customHeight="1">
      <c r="A107" s="457" t="s">
        <v>271</v>
      </c>
      <c r="B107" s="457" t="s">
        <v>272</v>
      </c>
      <c r="C107" s="457" t="s">
        <v>78</v>
      </c>
      <c r="D107" s="458">
        <v>40675</v>
      </c>
      <c r="E107" s="459">
        <v>2174</v>
      </c>
      <c r="F107" s="460">
        <v>2.2999999999999998</v>
      </c>
      <c r="G107" s="461">
        <f t="shared" si="13"/>
        <v>5000.2</v>
      </c>
      <c r="H107" s="468"/>
      <c r="I107" s="458">
        <v>40689</v>
      </c>
      <c r="J107" s="460">
        <v>2.4750000000000001</v>
      </c>
      <c r="K107" s="464">
        <f>SUM(E107*J107)</f>
        <v>5380.6500000000005</v>
      </c>
      <c r="L107" s="465">
        <f>SUM(G107-K107)</f>
        <v>-380.45000000000073</v>
      </c>
      <c r="M107" s="496">
        <v>1.0530299999999999</v>
      </c>
      <c r="N107" s="467">
        <f t="shared" si="12"/>
        <v>-400.62526350000076</v>
      </c>
      <c r="O107" s="369"/>
      <c r="P107" s="120"/>
    </row>
    <row r="108" spans="1:16" s="8" customFormat="1" ht="15" customHeight="1">
      <c r="A108" s="446" t="s">
        <v>273</v>
      </c>
      <c r="B108" s="446" t="s">
        <v>6</v>
      </c>
      <c r="C108" s="446" t="s">
        <v>53</v>
      </c>
      <c r="D108" s="447">
        <v>40667</v>
      </c>
      <c r="E108" s="448">
        <v>471</v>
      </c>
      <c r="F108" s="449">
        <v>31.85</v>
      </c>
      <c r="G108" s="450">
        <f t="shared" si="13"/>
        <v>15001.35</v>
      </c>
      <c r="H108" s="504"/>
      <c r="I108" s="510"/>
      <c r="J108" s="449">
        <v>32.549999999999997</v>
      </c>
      <c r="K108" s="453">
        <f t="shared" si="10"/>
        <v>15331.05</v>
      </c>
      <c r="L108" s="454">
        <f>SUM(K108-G108)</f>
        <v>329.69999999999891</v>
      </c>
      <c r="M108" s="511">
        <v>1</v>
      </c>
      <c r="N108" s="455">
        <f t="shared" si="12"/>
        <v>329.69999999999891</v>
      </c>
      <c r="O108" s="362"/>
      <c r="P108" s="119"/>
    </row>
    <row r="109" spans="1:16" s="18" customFormat="1" ht="15" customHeight="1">
      <c r="A109" s="457" t="s">
        <v>235</v>
      </c>
      <c r="B109" s="457" t="s">
        <v>274</v>
      </c>
      <c r="C109" s="457" t="s">
        <v>78</v>
      </c>
      <c r="D109" s="458">
        <v>40676</v>
      </c>
      <c r="E109" s="459">
        <v>7067</v>
      </c>
      <c r="F109" s="460">
        <v>1.415</v>
      </c>
      <c r="G109" s="461">
        <f t="shared" si="13"/>
        <v>9999.8050000000003</v>
      </c>
      <c r="H109" s="468"/>
      <c r="I109" s="512"/>
      <c r="J109" s="460">
        <v>1.4790000000000001</v>
      </c>
      <c r="K109" s="464">
        <f>SUM(E109*J109)</f>
        <v>10452.093000000001</v>
      </c>
      <c r="L109" s="465">
        <f>SUM(G109-K109)</f>
        <v>-452.28800000000047</v>
      </c>
      <c r="M109" s="513">
        <v>1</v>
      </c>
      <c r="N109" s="467">
        <f t="shared" si="12"/>
        <v>-452.28800000000047</v>
      </c>
      <c r="O109" s="113"/>
      <c r="P109" s="120"/>
    </row>
    <row r="110" spans="1:16" s="8" customFormat="1" ht="15" customHeight="1">
      <c r="A110" s="446" t="s">
        <v>169</v>
      </c>
      <c r="B110" s="446" t="s">
        <v>223</v>
      </c>
      <c r="C110" s="14" t="s">
        <v>53</v>
      </c>
      <c r="D110" s="447">
        <v>40694</v>
      </c>
      <c r="E110" s="448">
        <v>1033</v>
      </c>
      <c r="F110" s="449">
        <v>9.68</v>
      </c>
      <c r="G110" s="450">
        <f t="shared" si="13"/>
        <v>9999.44</v>
      </c>
      <c r="H110" s="504"/>
      <c r="I110" s="510"/>
      <c r="J110" s="449">
        <v>9.0500000000000007</v>
      </c>
      <c r="K110" s="453">
        <f t="shared" si="10"/>
        <v>9348.6500000000015</v>
      </c>
      <c r="L110" s="454">
        <f>SUM(K110-G110)</f>
        <v>-650.78999999999905</v>
      </c>
      <c r="M110" s="511">
        <v>1</v>
      </c>
      <c r="N110" s="455">
        <f t="shared" si="12"/>
        <v>-650.78999999999905</v>
      </c>
      <c r="O110" s="113"/>
      <c r="P110" s="119"/>
    </row>
    <row r="111" spans="1:16" s="8" customFormat="1" ht="15" customHeight="1">
      <c r="A111" s="446" t="s">
        <v>275</v>
      </c>
      <c r="B111" s="446" t="s">
        <v>276</v>
      </c>
      <c r="C111" s="446" t="s">
        <v>53</v>
      </c>
      <c r="D111" s="447">
        <v>40640</v>
      </c>
      <c r="E111" s="448">
        <v>30950</v>
      </c>
      <c r="F111" s="449">
        <v>0.48499999999999999</v>
      </c>
      <c r="G111" s="450">
        <f t="shared" si="13"/>
        <v>15010.75</v>
      </c>
      <c r="H111" s="504"/>
      <c r="I111" s="510"/>
      <c r="J111" s="449">
        <v>0.45</v>
      </c>
      <c r="K111" s="453">
        <f t="shared" si="10"/>
        <v>13927.5</v>
      </c>
      <c r="L111" s="454">
        <f>SUM(K111-G111)</f>
        <v>-1083.25</v>
      </c>
      <c r="M111" s="511">
        <v>1</v>
      </c>
      <c r="N111" s="455">
        <f t="shared" si="12"/>
        <v>-1083.25</v>
      </c>
      <c r="O111" s="113"/>
      <c r="P111" s="119"/>
    </row>
    <row r="112" spans="1:16" s="8" customFormat="1" ht="15" customHeight="1">
      <c r="A112" s="446" t="s">
        <v>275</v>
      </c>
      <c r="B112" s="446" t="s">
        <v>276</v>
      </c>
      <c r="C112" s="446" t="s">
        <v>53</v>
      </c>
      <c r="D112" s="447">
        <v>40681</v>
      </c>
      <c r="E112" s="448">
        <v>20618</v>
      </c>
      <c r="F112" s="449">
        <v>0.48499999999999999</v>
      </c>
      <c r="G112" s="450">
        <f t="shared" si="13"/>
        <v>9999.73</v>
      </c>
      <c r="H112" s="504"/>
      <c r="I112" s="510"/>
      <c r="J112" s="449">
        <v>0.45</v>
      </c>
      <c r="K112" s="453">
        <f t="shared" si="10"/>
        <v>9278.1</v>
      </c>
      <c r="L112" s="454">
        <f>SUM(K112-G112)</f>
        <v>-721.6299999999992</v>
      </c>
      <c r="M112" s="511">
        <v>1</v>
      </c>
      <c r="N112" s="455">
        <f t="shared" si="12"/>
        <v>-721.6299999999992</v>
      </c>
      <c r="O112" s="113"/>
      <c r="P112" s="119"/>
    </row>
    <row r="113" spans="1:16" s="8" customFormat="1" ht="15" customHeight="1">
      <c r="A113" s="446" t="s">
        <v>277</v>
      </c>
      <c r="B113" s="446" t="s">
        <v>225</v>
      </c>
      <c r="C113" s="446" t="s">
        <v>53</v>
      </c>
      <c r="D113" s="447">
        <v>40682</v>
      </c>
      <c r="E113" s="448">
        <v>2747</v>
      </c>
      <c r="F113" s="449">
        <v>3.64</v>
      </c>
      <c r="G113" s="450">
        <f t="shared" si="13"/>
        <v>9999.08</v>
      </c>
      <c r="H113" s="504"/>
      <c r="I113" s="510"/>
      <c r="J113" s="449">
        <v>3.59</v>
      </c>
      <c r="K113" s="453">
        <f t="shared" si="10"/>
        <v>9861.73</v>
      </c>
      <c r="L113" s="454">
        <f>SUM(K113-G113)</f>
        <v>-137.35000000000036</v>
      </c>
      <c r="M113" s="511">
        <v>1</v>
      </c>
      <c r="N113" s="455">
        <f t="shared" si="12"/>
        <v>-137.35000000000036</v>
      </c>
      <c r="O113" s="113"/>
      <c r="P113" s="119"/>
    </row>
    <row r="114" spans="1:16" s="18" customFormat="1" ht="15" customHeight="1">
      <c r="A114" s="457" t="s">
        <v>278</v>
      </c>
      <c r="B114" s="457" t="s">
        <v>279</v>
      </c>
      <c r="C114" s="457" t="s">
        <v>78</v>
      </c>
      <c r="D114" s="458">
        <v>40679</v>
      </c>
      <c r="E114" s="459">
        <v>7042</v>
      </c>
      <c r="F114" s="460">
        <v>1.42</v>
      </c>
      <c r="G114" s="461">
        <f t="shared" si="13"/>
        <v>9999.64</v>
      </c>
      <c r="H114" s="468"/>
      <c r="I114" s="512"/>
      <c r="J114" s="460">
        <v>1.4850000000000001</v>
      </c>
      <c r="K114" s="464">
        <f t="shared" ref="K114:K120" si="15">SUM(E114*J114)</f>
        <v>10457.370000000001</v>
      </c>
      <c r="L114" s="465">
        <f>SUM(G114-K114)</f>
        <v>-457.73000000000138</v>
      </c>
      <c r="M114" s="513">
        <v>1</v>
      </c>
      <c r="N114" s="467">
        <f t="shared" si="12"/>
        <v>-457.73000000000138</v>
      </c>
      <c r="O114" s="113"/>
      <c r="P114" s="120"/>
    </row>
    <row r="115" spans="1:16" s="18" customFormat="1" ht="15" customHeight="1">
      <c r="A115" s="457" t="s">
        <v>12</v>
      </c>
      <c r="B115" s="457" t="s">
        <v>13</v>
      </c>
      <c r="C115" s="457" t="s">
        <v>78</v>
      </c>
      <c r="D115" s="458">
        <v>40687</v>
      </c>
      <c r="E115" s="459">
        <v>10362</v>
      </c>
      <c r="F115" s="460">
        <v>0.96499999999999997</v>
      </c>
      <c r="G115" s="461">
        <f t="shared" si="13"/>
        <v>9999.33</v>
      </c>
      <c r="H115" s="468"/>
      <c r="I115" s="512"/>
      <c r="J115" s="460">
        <v>1.05</v>
      </c>
      <c r="K115" s="464">
        <f t="shared" si="15"/>
        <v>10880.1</v>
      </c>
      <c r="L115" s="465">
        <f>SUM(G115-K115)</f>
        <v>-880.77000000000044</v>
      </c>
      <c r="M115" s="513">
        <v>1</v>
      </c>
      <c r="N115" s="467">
        <f t="shared" si="12"/>
        <v>-880.77000000000044</v>
      </c>
      <c r="O115" s="113"/>
      <c r="P115" s="120"/>
    </row>
    <row r="116" spans="1:16" s="8" customFormat="1" ht="15" customHeight="1">
      <c r="A116" s="446" t="s">
        <v>280</v>
      </c>
      <c r="B116" s="446" t="s">
        <v>11</v>
      </c>
      <c r="C116" s="446" t="s">
        <v>53</v>
      </c>
      <c r="D116" s="447">
        <v>40653</v>
      </c>
      <c r="E116" s="448">
        <v>1558</v>
      </c>
      <c r="F116" s="449">
        <v>7.7</v>
      </c>
      <c r="G116" s="450">
        <f t="shared" si="13"/>
        <v>11996.6</v>
      </c>
      <c r="H116" s="504"/>
      <c r="I116" s="510"/>
      <c r="J116" s="449">
        <v>3.63</v>
      </c>
      <c r="K116" s="453">
        <f t="shared" si="15"/>
        <v>5655.54</v>
      </c>
      <c r="L116" s="454">
        <f>SUM(K116-G116)</f>
        <v>-6341.06</v>
      </c>
      <c r="M116" s="511">
        <v>1</v>
      </c>
      <c r="N116" s="455">
        <f t="shared" si="12"/>
        <v>-6341.06</v>
      </c>
      <c r="O116" s="113"/>
      <c r="P116" s="119"/>
    </row>
    <row r="117" spans="1:16" s="8" customFormat="1" ht="15" customHeight="1">
      <c r="A117" s="446" t="s">
        <v>281</v>
      </c>
      <c r="B117" s="446" t="s">
        <v>282</v>
      </c>
      <c r="C117" s="446"/>
      <c r="D117" s="447">
        <v>40653</v>
      </c>
      <c r="E117" s="448">
        <v>1558</v>
      </c>
      <c r="F117" s="449">
        <v>0</v>
      </c>
      <c r="G117" s="450">
        <f t="shared" si="13"/>
        <v>0</v>
      </c>
      <c r="H117" s="504"/>
      <c r="I117" s="447">
        <v>40717</v>
      </c>
      <c r="J117" s="449">
        <v>4.2</v>
      </c>
      <c r="K117" s="453">
        <f t="shared" si="15"/>
        <v>6543.6</v>
      </c>
      <c r="L117" s="454">
        <f>SUM(K117-G117)</f>
        <v>6543.6</v>
      </c>
      <c r="M117" s="495">
        <v>1.0567800000000001</v>
      </c>
      <c r="N117" s="455">
        <f t="shared" si="12"/>
        <v>6915.1456080000007</v>
      </c>
      <c r="O117" s="113"/>
      <c r="P117" s="119"/>
    </row>
    <row r="118" spans="1:16" s="18" customFormat="1" ht="15" customHeight="1">
      <c r="A118" s="457" t="s">
        <v>283</v>
      </c>
      <c r="B118" s="457" t="s">
        <v>284</v>
      </c>
      <c r="C118" s="457" t="s">
        <v>78</v>
      </c>
      <c r="D118" s="458">
        <v>40701</v>
      </c>
      <c r="E118" s="459">
        <v>4184</v>
      </c>
      <c r="F118" s="460">
        <v>2.39</v>
      </c>
      <c r="G118" s="461">
        <f t="shared" si="13"/>
        <v>9999.76</v>
      </c>
      <c r="H118" s="468"/>
      <c r="I118" s="458">
        <v>40723</v>
      </c>
      <c r="J118" s="460">
        <v>2.7349999999999999</v>
      </c>
      <c r="K118" s="464">
        <f t="shared" si="15"/>
        <v>11443.24</v>
      </c>
      <c r="L118" s="465">
        <f>SUM(G118-K118)</f>
        <v>-1443.4799999999996</v>
      </c>
      <c r="M118" s="496">
        <v>1.05402</v>
      </c>
      <c r="N118" s="467">
        <f t="shared" si="12"/>
        <v>-1521.4567895999994</v>
      </c>
      <c r="O118" s="113"/>
      <c r="P118" s="120"/>
    </row>
    <row r="119" spans="1:16" s="18" customFormat="1" ht="15" customHeight="1">
      <c r="A119" s="457" t="s">
        <v>285</v>
      </c>
      <c r="B119" s="457" t="s">
        <v>286</v>
      </c>
      <c r="C119" s="457" t="s">
        <v>78</v>
      </c>
      <c r="D119" s="458">
        <v>40714</v>
      </c>
      <c r="E119" s="459">
        <v>998</v>
      </c>
      <c r="F119" s="460">
        <v>10.02</v>
      </c>
      <c r="G119" s="461">
        <f t="shared" si="13"/>
        <v>9999.9599999999991</v>
      </c>
      <c r="H119" s="468"/>
      <c r="I119" s="458">
        <v>40725</v>
      </c>
      <c r="J119" s="460">
        <v>11.07</v>
      </c>
      <c r="K119" s="464">
        <f t="shared" si="15"/>
        <v>11047.86</v>
      </c>
      <c r="L119" s="465">
        <f>SUM(G119-K119)</f>
        <v>-1047.9000000000015</v>
      </c>
      <c r="M119" s="496">
        <v>1.07223</v>
      </c>
      <c r="N119" s="467">
        <f t="shared" si="12"/>
        <v>-1123.5898170000016</v>
      </c>
      <c r="O119" s="113"/>
      <c r="P119" s="120"/>
    </row>
    <row r="120" spans="1:16" s="8" customFormat="1" ht="15" customHeight="1">
      <c r="A120" s="446" t="s">
        <v>287</v>
      </c>
      <c r="B120" s="446" t="s">
        <v>288</v>
      </c>
      <c r="C120" s="446" t="s">
        <v>53</v>
      </c>
      <c r="D120" s="447">
        <v>40623</v>
      </c>
      <c r="E120" s="448">
        <v>15900</v>
      </c>
      <c r="F120" s="449">
        <v>0.71</v>
      </c>
      <c r="G120" s="450">
        <f t="shared" si="13"/>
        <v>11289</v>
      </c>
      <c r="H120" s="504"/>
      <c r="I120" s="447">
        <v>40725</v>
      </c>
      <c r="J120" s="449">
        <v>0.69210000000000005</v>
      </c>
      <c r="K120" s="453">
        <f t="shared" si="15"/>
        <v>11004.390000000001</v>
      </c>
      <c r="L120" s="454">
        <f>SUM(K120-G120)</f>
        <v>-284.60999999999876</v>
      </c>
      <c r="M120" s="495">
        <v>1.07223</v>
      </c>
      <c r="N120" s="455">
        <f t="shared" si="12"/>
        <v>-305.16738029999868</v>
      </c>
      <c r="O120" s="113"/>
      <c r="P120" s="119"/>
    </row>
    <row r="121" spans="1:16" s="18" customFormat="1" ht="15" customHeight="1">
      <c r="A121" s="457" t="s">
        <v>289</v>
      </c>
      <c r="B121" s="457" t="s">
        <v>290</v>
      </c>
      <c r="C121" s="457" t="s">
        <v>78</v>
      </c>
      <c r="D121" s="458">
        <v>40714</v>
      </c>
      <c r="E121" s="459">
        <v>514</v>
      </c>
      <c r="F121" s="460">
        <v>19.43</v>
      </c>
      <c r="G121" s="461">
        <f t="shared" si="13"/>
        <v>9987.02</v>
      </c>
      <c r="H121" s="468"/>
      <c r="I121" s="458">
        <v>40725</v>
      </c>
      <c r="J121" s="460">
        <v>22.01</v>
      </c>
      <c r="K121" s="464">
        <f t="shared" ref="K121:K127" si="16">SUM(E121*J121)</f>
        <v>11313.140000000001</v>
      </c>
      <c r="L121" s="465">
        <f t="shared" ref="L121:L127" si="17">SUM(G121-K121)</f>
        <v>-1326.1200000000008</v>
      </c>
      <c r="M121" s="496">
        <v>1.07223</v>
      </c>
      <c r="N121" s="467">
        <f t="shared" si="12"/>
        <v>-1421.905647600001</v>
      </c>
      <c r="O121" s="113"/>
      <c r="P121" s="120"/>
    </row>
    <row r="122" spans="1:16" s="18" customFormat="1" ht="15" customHeight="1">
      <c r="A122" s="457" t="s">
        <v>219</v>
      </c>
      <c r="B122" s="457" t="s">
        <v>219</v>
      </c>
      <c r="C122" s="457" t="s">
        <v>78</v>
      </c>
      <c r="D122" s="458">
        <v>40644</v>
      </c>
      <c r="E122" s="459">
        <v>4559</v>
      </c>
      <c r="F122" s="460">
        <v>3.22</v>
      </c>
      <c r="G122" s="461">
        <f t="shared" si="13"/>
        <v>14679.980000000001</v>
      </c>
      <c r="H122" s="468"/>
      <c r="I122" s="458">
        <v>40728</v>
      </c>
      <c r="J122" s="460">
        <v>2.931</v>
      </c>
      <c r="K122" s="464">
        <f t="shared" si="16"/>
        <v>13362.429</v>
      </c>
      <c r="L122" s="454">
        <f t="shared" si="17"/>
        <v>1317.5510000000013</v>
      </c>
      <c r="M122" s="496">
        <v>1.07761</v>
      </c>
      <c r="N122" s="455">
        <f t="shared" si="12"/>
        <v>1419.8061331100014</v>
      </c>
      <c r="O122" s="113"/>
      <c r="P122" s="120"/>
    </row>
    <row r="123" spans="1:16" s="18" customFormat="1" ht="15" customHeight="1">
      <c r="A123" s="457" t="s">
        <v>291</v>
      </c>
      <c r="B123" s="457" t="s">
        <v>209</v>
      </c>
      <c r="C123" s="457" t="s">
        <v>78</v>
      </c>
      <c r="D123" s="458">
        <v>40667</v>
      </c>
      <c r="E123" s="459">
        <v>3456</v>
      </c>
      <c r="F123" s="460">
        <v>4.34</v>
      </c>
      <c r="G123" s="461">
        <f t="shared" si="13"/>
        <v>14999.039999999999</v>
      </c>
      <c r="H123" s="468"/>
      <c r="I123" s="458">
        <v>40728</v>
      </c>
      <c r="J123" s="460">
        <v>4.2249999999999996</v>
      </c>
      <c r="K123" s="464">
        <f t="shared" si="16"/>
        <v>14601.599999999999</v>
      </c>
      <c r="L123" s="454">
        <f t="shared" si="17"/>
        <v>397.44000000000051</v>
      </c>
      <c r="M123" s="496">
        <v>1.07761</v>
      </c>
      <c r="N123" s="455">
        <f t="shared" si="12"/>
        <v>428.28531840000051</v>
      </c>
      <c r="O123" s="113"/>
      <c r="P123" s="120"/>
    </row>
    <row r="124" spans="1:16" s="18" customFormat="1" ht="15" customHeight="1">
      <c r="A124" s="457" t="s">
        <v>292</v>
      </c>
      <c r="B124" s="457" t="s">
        <v>149</v>
      </c>
      <c r="C124" s="457" t="s">
        <v>78</v>
      </c>
      <c r="D124" s="458">
        <v>40671</v>
      </c>
      <c r="E124" s="459">
        <v>1085</v>
      </c>
      <c r="F124" s="460">
        <v>9.2100000000000009</v>
      </c>
      <c r="G124" s="461">
        <f t="shared" si="13"/>
        <v>9992.85</v>
      </c>
      <c r="H124" s="468"/>
      <c r="I124" s="458">
        <v>40730</v>
      </c>
      <c r="J124" s="460">
        <v>8.3279999999999994</v>
      </c>
      <c r="K124" s="464">
        <f t="shared" si="16"/>
        <v>9035.8799999999992</v>
      </c>
      <c r="L124" s="454">
        <f t="shared" si="17"/>
        <v>956.97000000000116</v>
      </c>
      <c r="M124" s="496">
        <v>1.06917</v>
      </c>
      <c r="N124" s="455">
        <f t="shared" si="12"/>
        <v>1023.1636149000012</v>
      </c>
      <c r="O124" s="113"/>
      <c r="P124" s="120"/>
    </row>
    <row r="125" spans="1:16" s="18" customFormat="1" ht="15" customHeight="1">
      <c r="A125" s="457" t="s">
        <v>293</v>
      </c>
      <c r="B125" s="457" t="s">
        <v>294</v>
      </c>
      <c r="C125" s="457" t="s">
        <v>78</v>
      </c>
      <c r="D125" s="458">
        <v>40665</v>
      </c>
      <c r="E125" s="459">
        <v>9009</v>
      </c>
      <c r="F125" s="460">
        <v>1.665</v>
      </c>
      <c r="G125" s="461">
        <f t="shared" si="13"/>
        <v>14999.985000000001</v>
      </c>
      <c r="H125" s="468"/>
      <c r="I125" s="458">
        <v>40731</v>
      </c>
      <c r="J125" s="460">
        <v>1.3440000000000001</v>
      </c>
      <c r="K125" s="464">
        <f t="shared" si="16"/>
        <v>12108.096000000001</v>
      </c>
      <c r="L125" s="454">
        <f t="shared" si="17"/>
        <v>2891.8889999999992</v>
      </c>
      <c r="M125" s="496">
        <v>1.0697300000000001</v>
      </c>
      <c r="N125" s="455">
        <f t="shared" si="12"/>
        <v>3093.5404199699992</v>
      </c>
      <c r="O125" s="113"/>
      <c r="P125" s="120"/>
    </row>
    <row r="126" spans="1:16" s="18" customFormat="1" ht="15" customHeight="1">
      <c r="A126" s="457" t="s">
        <v>295</v>
      </c>
      <c r="B126" s="457" t="s">
        <v>296</v>
      </c>
      <c r="C126" s="457" t="s">
        <v>78</v>
      </c>
      <c r="D126" s="458">
        <v>40714</v>
      </c>
      <c r="E126" s="459">
        <v>681</v>
      </c>
      <c r="F126" s="460">
        <v>14.67</v>
      </c>
      <c r="G126" s="461">
        <f t="shared" si="13"/>
        <v>9990.27</v>
      </c>
      <c r="H126" s="468"/>
      <c r="I126" s="458">
        <v>40732</v>
      </c>
      <c r="J126" s="460">
        <v>16.57</v>
      </c>
      <c r="K126" s="464">
        <f t="shared" si="16"/>
        <v>11284.17</v>
      </c>
      <c r="L126" s="465">
        <f t="shared" si="17"/>
        <v>-1293.8999999999996</v>
      </c>
      <c r="M126" s="496">
        <v>1.07751</v>
      </c>
      <c r="N126" s="467">
        <f t="shared" si="12"/>
        <v>-1394.1901889999995</v>
      </c>
      <c r="O126" s="113"/>
      <c r="P126" s="120"/>
    </row>
    <row r="127" spans="1:16" s="18" customFormat="1" ht="15" customHeight="1">
      <c r="A127" s="457" t="s">
        <v>297</v>
      </c>
      <c r="B127" s="457" t="s">
        <v>298</v>
      </c>
      <c r="C127" s="457" t="s">
        <v>78</v>
      </c>
      <c r="D127" s="458">
        <v>40679</v>
      </c>
      <c r="E127" s="459">
        <v>1524</v>
      </c>
      <c r="F127" s="460">
        <v>6.56</v>
      </c>
      <c r="G127" s="461">
        <f t="shared" si="13"/>
        <v>9997.4399999999987</v>
      </c>
      <c r="H127" s="468"/>
      <c r="I127" s="458">
        <v>40737</v>
      </c>
      <c r="J127" s="460">
        <v>6.835</v>
      </c>
      <c r="K127" s="464">
        <f t="shared" si="16"/>
        <v>10416.539999999999</v>
      </c>
      <c r="L127" s="465">
        <f t="shared" si="17"/>
        <v>-419.10000000000036</v>
      </c>
      <c r="M127" s="496">
        <v>1.05942</v>
      </c>
      <c r="N127" s="467">
        <f t="shared" si="12"/>
        <v>-444.00292200000041</v>
      </c>
      <c r="O127" s="113"/>
      <c r="P127" s="120"/>
    </row>
    <row r="128" spans="1:16" s="8" customFormat="1" ht="15" customHeight="1">
      <c r="A128" s="446" t="s">
        <v>299</v>
      </c>
      <c r="B128" s="446" t="s">
        <v>300</v>
      </c>
      <c r="C128" s="446" t="s">
        <v>53</v>
      </c>
      <c r="D128" s="447">
        <v>40661</v>
      </c>
      <c r="E128" s="448">
        <v>1470</v>
      </c>
      <c r="F128" s="449">
        <v>8.17</v>
      </c>
      <c r="G128" s="450">
        <f t="shared" si="13"/>
        <v>12009.9</v>
      </c>
      <c r="H128" s="504"/>
      <c r="I128" s="447">
        <v>40737</v>
      </c>
      <c r="J128" s="449">
        <v>7.8390000000000004</v>
      </c>
      <c r="K128" s="453">
        <f t="shared" ref="K128:K135" si="18">SUM(E128*J128)</f>
        <v>11523.33</v>
      </c>
      <c r="L128" s="454">
        <f>SUM(K128-G128)</f>
        <v>-486.56999999999971</v>
      </c>
      <c r="M128" s="495">
        <v>1.05942</v>
      </c>
      <c r="N128" s="455">
        <f t="shared" si="12"/>
        <v>-515.48198939999975</v>
      </c>
      <c r="O128" s="113"/>
      <c r="P128" s="119"/>
    </row>
    <row r="129" spans="1:16" s="8" customFormat="1" ht="15" customHeight="1">
      <c r="A129" s="446" t="s">
        <v>299</v>
      </c>
      <c r="B129" s="446" t="s">
        <v>300</v>
      </c>
      <c r="C129" s="446" t="s">
        <v>53</v>
      </c>
      <c r="D129" s="447">
        <v>40682</v>
      </c>
      <c r="E129" s="448">
        <v>1150</v>
      </c>
      <c r="F129" s="449">
        <v>8.39</v>
      </c>
      <c r="G129" s="450">
        <f t="shared" si="13"/>
        <v>9648.5</v>
      </c>
      <c r="H129" s="504"/>
      <c r="I129" s="447">
        <v>40739</v>
      </c>
      <c r="J129" s="449">
        <v>7.8390000000000004</v>
      </c>
      <c r="K129" s="453">
        <f t="shared" si="18"/>
        <v>9014.85</v>
      </c>
      <c r="L129" s="454">
        <f>SUM(K129-G129)</f>
        <v>-633.64999999999964</v>
      </c>
      <c r="M129" s="495">
        <v>1.07216</v>
      </c>
      <c r="N129" s="455">
        <f t="shared" si="12"/>
        <v>-679.37418399999956</v>
      </c>
      <c r="O129" s="113"/>
      <c r="P129" s="119"/>
    </row>
    <row r="130" spans="1:16" s="18" customFormat="1" ht="15" customHeight="1">
      <c r="A130" s="457" t="s">
        <v>301</v>
      </c>
      <c r="B130" s="457" t="s">
        <v>302</v>
      </c>
      <c r="C130" s="457" t="s">
        <v>78</v>
      </c>
      <c r="D130" s="458">
        <v>40714</v>
      </c>
      <c r="E130" s="459">
        <v>429</v>
      </c>
      <c r="F130" s="460">
        <v>23.28</v>
      </c>
      <c r="G130" s="461">
        <f t="shared" si="13"/>
        <v>9987.1200000000008</v>
      </c>
      <c r="H130" s="468"/>
      <c r="I130" s="458">
        <v>40743</v>
      </c>
      <c r="J130" s="460">
        <v>25.67</v>
      </c>
      <c r="K130" s="464">
        <f t="shared" si="18"/>
        <v>11012.43</v>
      </c>
      <c r="L130" s="465">
        <f>SUM(G130-K130)</f>
        <v>-1025.3099999999995</v>
      </c>
      <c r="M130" s="496">
        <v>1.0605899999999999</v>
      </c>
      <c r="N130" s="467">
        <f t="shared" si="12"/>
        <v>-1087.4335328999994</v>
      </c>
      <c r="O130" s="113"/>
      <c r="P130" s="120"/>
    </row>
    <row r="131" spans="1:16" s="8" customFormat="1" ht="15" customHeight="1">
      <c r="A131" s="446" t="s">
        <v>303</v>
      </c>
      <c r="B131" s="446" t="s">
        <v>304</v>
      </c>
      <c r="C131" s="446" t="s">
        <v>53</v>
      </c>
      <c r="D131" s="447">
        <v>40676</v>
      </c>
      <c r="E131" s="448">
        <v>10869</v>
      </c>
      <c r="F131" s="449">
        <v>0.92</v>
      </c>
      <c r="G131" s="450">
        <f t="shared" si="13"/>
        <v>9999.48</v>
      </c>
      <c r="H131" s="504"/>
      <c r="I131" s="447">
        <v>40744</v>
      </c>
      <c r="J131" s="449">
        <v>0.91320000000000001</v>
      </c>
      <c r="K131" s="453">
        <f t="shared" si="18"/>
        <v>9925.5707999999995</v>
      </c>
      <c r="L131" s="454">
        <f>SUM(K131-G131)</f>
        <v>-73.909200000000055</v>
      </c>
      <c r="M131" s="495">
        <v>1.073</v>
      </c>
      <c r="N131" s="455">
        <f t="shared" si="12"/>
        <v>-79.30457160000006</v>
      </c>
      <c r="O131" s="113"/>
      <c r="P131" s="119"/>
    </row>
    <row r="132" spans="1:16" s="18" customFormat="1" ht="15" customHeight="1">
      <c r="A132" s="514" t="s">
        <v>305</v>
      </c>
      <c r="B132" s="514" t="s">
        <v>306</v>
      </c>
      <c r="C132" s="514" t="s">
        <v>78</v>
      </c>
      <c r="D132" s="515">
        <v>40616</v>
      </c>
      <c r="E132" s="516">
        <v>1590</v>
      </c>
      <c r="F132" s="512">
        <v>9.3930000000000007</v>
      </c>
      <c r="G132" s="517">
        <f t="shared" ref="G132:G163" si="19">SUM(E132*F132)</f>
        <v>14934.87</v>
      </c>
      <c r="H132" s="518"/>
      <c r="I132" s="515">
        <v>40930</v>
      </c>
      <c r="J132" s="512">
        <v>4.383</v>
      </c>
      <c r="K132" s="519">
        <f t="shared" si="18"/>
        <v>6968.97</v>
      </c>
      <c r="L132" s="520">
        <f>SUM(G132-K132)</f>
        <v>7965.9000000000005</v>
      </c>
      <c r="M132" s="513">
        <v>1</v>
      </c>
      <c r="N132" s="521">
        <f t="shared" si="12"/>
        <v>7965.9000000000005</v>
      </c>
      <c r="O132" s="113"/>
      <c r="P132" s="120"/>
    </row>
    <row r="133" spans="1:16" s="18" customFormat="1" ht="15" customHeight="1">
      <c r="A133" s="457" t="s">
        <v>307</v>
      </c>
      <c r="B133" s="457" t="s">
        <v>308</v>
      </c>
      <c r="C133" s="457" t="s">
        <v>78</v>
      </c>
      <c r="D133" s="458">
        <v>40647</v>
      </c>
      <c r="E133" s="459">
        <v>1547</v>
      </c>
      <c r="F133" s="460">
        <v>24.2</v>
      </c>
      <c r="G133" s="461">
        <f t="shared" si="19"/>
        <v>37437.4</v>
      </c>
      <c r="H133" s="468"/>
      <c r="I133" s="458">
        <v>40750</v>
      </c>
      <c r="J133" s="460">
        <v>21.93</v>
      </c>
      <c r="K133" s="464">
        <f t="shared" si="18"/>
        <v>33925.71</v>
      </c>
      <c r="L133" s="454">
        <f>SUM(G133-K133)</f>
        <v>3511.6900000000023</v>
      </c>
      <c r="M133" s="496">
        <v>1.0841700000000001</v>
      </c>
      <c r="N133" s="455">
        <f t="shared" si="12"/>
        <v>3807.2689473000028</v>
      </c>
      <c r="O133" s="113"/>
      <c r="P133" s="120"/>
    </row>
    <row r="134" spans="1:16" s="18" customFormat="1" ht="15" customHeight="1">
      <c r="A134" s="457" t="s">
        <v>137</v>
      </c>
      <c r="B134" s="457" t="s">
        <v>203</v>
      </c>
      <c r="C134" s="457" t="s">
        <v>78</v>
      </c>
      <c r="D134" s="458">
        <v>40700</v>
      </c>
      <c r="E134" s="459">
        <v>5000</v>
      </c>
      <c r="F134" s="460">
        <v>2</v>
      </c>
      <c r="G134" s="461">
        <f t="shared" si="19"/>
        <v>10000</v>
      </c>
      <c r="H134" s="468"/>
      <c r="I134" s="458">
        <v>40750</v>
      </c>
      <c r="J134" s="460">
        <v>2.1219999999999999</v>
      </c>
      <c r="K134" s="464">
        <f t="shared" si="18"/>
        <v>10610</v>
      </c>
      <c r="L134" s="465">
        <f>SUM(G134-K134)</f>
        <v>-610</v>
      </c>
      <c r="M134" s="496">
        <v>1.0841700000000001</v>
      </c>
      <c r="N134" s="467">
        <f t="shared" si="12"/>
        <v>-661.34370000000001</v>
      </c>
      <c r="O134" s="113"/>
      <c r="P134" s="120"/>
    </row>
    <row r="135" spans="1:16" s="8" customFormat="1" ht="15" customHeight="1">
      <c r="A135" s="446" t="s">
        <v>145</v>
      </c>
      <c r="B135" s="446" t="s">
        <v>309</v>
      </c>
      <c r="C135" s="446" t="s">
        <v>53</v>
      </c>
      <c r="D135" s="447">
        <v>40694</v>
      </c>
      <c r="E135" s="448">
        <v>3215</v>
      </c>
      <c r="F135" s="449">
        <v>3.11</v>
      </c>
      <c r="G135" s="450">
        <f t="shared" si="19"/>
        <v>9998.65</v>
      </c>
      <c r="H135" s="504"/>
      <c r="I135" s="447">
        <v>40780</v>
      </c>
      <c r="J135" s="449">
        <v>2.7839999999999998</v>
      </c>
      <c r="K135" s="453">
        <f t="shared" si="18"/>
        <v>8950.56</v>
      </c>
      <c r="L135" s="454">
        <f>SUM(K135-G135)</f>
        <v>-1048.0900000000001</v>
      </c>
      <c r="M135" s="495">
        <v>1.0472999999999999</v>
      </c>
      <c r="N135" s="455">
        <f t="shared" si="12"/>
        <v>-1097.664657</v>
      </c>
      <c r="O135" s="113"/>
      <c r="P135" s="119"/>
    </row>
    <row r="136" spans="1:16" s="18" customFormat="1" ht="15" customHeight="1">
      <c r="A136" s="457" t="s">
        <v>226</v>
      </c>
      <c r="B136" s="457" t="s">
        <v>226</v>
      </c>
      <c r="C136" s="457" t="s">
        <v>78</v>
      </c>
      <c r="D136" s="458">
        <v>40714</v>
      </c>
      <c r="E136" s="459">
        <v>2105</v>
      </c>
      <c r="F136" s="460">
        <v>4.75</v>
      </c>
      <c r="G136" s="461">
        <f t="shared" si="19"/>
        <v>9998.75</v>
      </c>
      <c r="H136" s="468"/>
      <c r="I136" s="458">
        <v>40786</v>
      </c>
      <c r="J136" s="460">
        <v>4.32</v>
      </c>
      <c r="K136" s="464">
        <f t="shared" ref="K136:K141" si="20">SUM(E136*J136)</f>
        <v>9093.6</v>
      </c>
      <c r="L136" s="454">
        <f t="shared" ref="L136:L141" si="21">SUM(G136-K136)</f>
        <v>905.14999999999964</v>
      </c>
      <c r="M136" s="496">
        <v>1.06806</v>
      </c>
      <c r="N136" s="455">
        <f t="shared" si="12"/>
        <v>966.75450899999964</v>
      </c>
      <c r="O136" s="113"/>
      <c r="P136" s="120"/>
    </row>
    <row r="137" spans="1:16" s="18" customFormat="1" ht="15" customHeight="1">
      <c r="A137" s="457" t="s">
        <v>144</v>
      </c>
      <c r="B137" s="457" t="s">
        <v>310</v>
      </c>
      <c r="C137" s="457" t="s">
        <v>78</v>
      </c>
      <c r="D137" s="458">
        <v>40686</v>
      </c>
      <c r="E137" s="459">
        <v>1916</v>
      </c>
      <c r="F137" s="460">
        <v>5.22</v>
      </c>
      <c r="G137" s="461">
        <f t="shared" si="19"/>
        <v>10001.519999999999</v>
      </c>
      <c r="H137" s="468"/>
      <c r="I137" s="458">
        <v>40787</v>
      </c>
      <c r="J137" s="460">
        <v>4.7539999999999996</v>
      </c>
      <c r="K137" s="464">
        <f t="shared" si="20"/>
        <v>9108.6639999999989</v>
      </c>
      <c r="L137" s="454">
        <f t="shared" si="21"/>
        <v>892.85599999999977</v>
      </c>
      <c r="M137" s="496">
        <v>1.0705199999999999</v>
      </c>
      <c r="N137" s="455">
        <f t="shared" si="12"/>
        <v>955.82020511999963</v>
      </c>
      <c r="O137" s="113"/>
      <c r="P137" s="120"/>
    </row>
    <row r="138" spans="1:16" s="18" customFormat="1" ht="15" customHeight="1">
      <c r="A138" s="457" t="s">
        <v>311</v>
      </c>
      <c r="B138" s="457" t="s">
        <v>312</v>
      </c>
      <c r="C138" s="457" t="s">
        <v>78</v>
      </c>
      <c r="D138" s="458">
        <v>40701</v>
      </c>
      <c r="E138" s="459">
        <v>2512</v>
      </c>
      <c r="F138" s="460">
        <v>3.98</v>
      </c>
      <c r="G138" s="461">
        <f t="shared" si="19"/>
        <v>9997.76</v>
      </c>
      <c r="H138" s="468"/>
      <c r="I138" s="458">
        <v>40801</v>
      </c>
      <c r="J138" s="460">
        <v>3.0569999999999999</v>
      </c>
      <c r="K138" s="464">
        <f t="shared" si="20"/>
        <v>7679.1840000000002</v>
      </c>
      <c r="L138" s="454">
        <f t="shared" si="21"/>
        <v>2318.576</v>
      </c>
      <c r="M138" s="496">
        <v>1.0276799999999999</v>
      </c>
      <c r="N138" s="455">
        <f t="shared" si="12"/>
        <v>2382.7541836799996</v>
      </c>
      <c r="O138" s="113"/>
      <c r="P138" s="120"/>
    </row>
    <row r="139" spans="1:16" s="18" customFormat="1" ht="15" customHeight="1">
      <c r="A139" s="457" t="s">
        <v>313</v>
      </c>
      <c r="B139" s="457" t="s">
        <v>314</v>
      </c>
      <c r="C139" s="457" t="s">
        <v>78</v>
      </c>
      <c r="D139" s="458">
        <v>40798</v>
      </c>
      <c r="E139" s="459">
        <v>5000</v>
      </c>
      <c r="F139" s="460">
        <v>2.44</v>
      </c>
      <c r="G139" s="461">
        <f t="shared" si="19"/>
        <v>12200</v>
      </c>
      <c r="H139" s="468"/>
      <c r="I139" s="458">
        <v>40827</v>
      </c>
      <c r="J139" s="460">
        <v>2.65</v>
      </c>
      <c r="K139" s="464">
        <f t="shared" si="20"/>
        <v>13250</v>
      </c>
      <c r="L139" s="465">
        <f t="shared" si="21"/>
        <v>-1050</v>
      </c>
      <c r="M139" s="496">
        <v>0.99858999999999998</v>
      </c>
      <c r="N139" s="467">
        <f t="shared" si="12"/>
        <v>-1048.5194999999999</v>
      </c>
      <c r="O139" s="113"/>
      <c r="P139" s="120"/>
    </row>
    <row r="140" spans="1:16" s="18" customFormat="1" ht="15" customHeight="1">
      <c r="A140" s="457" t="s">
        <v>315</v>
      </c>
      <c r="B140" s="457" t="s">
        <v>316</v>
      </c>
      <c r="C140" s="457" t="s">
        <v>78</v>
      </c>
      <c r="D140" s="458">
        <v>40671</v>
      </c>
      <c r="E140" s="459">
        <v>9134</v>
      </c>
      <c r="F140" s="460">
        <v>1.095</v>
      </c>
      <c r="G140" s="461">
        <f t="shared" si="19"/>
        <v>10001.73</v>
      </c>
      <c r="H140" s="468"/>
      <c r="I140" s="458">
        <v>40835</v>
      </c>
      <c r="J140" s="460">
        <v>0.95499999999999996</v>
      </c>
      <c r="K140" s="464">
        <f t="shared" si="20"/>
        <v>8722.9699999999993</v>
      </c>
      <c r="L140" s="454">
        <f t="shared" si="21"/>
        <v>1278.7600000000002</v>
      </c>
      <c r="M140" s="496">
        <v>1.0261400000000001</v>
      </c>
      <c r="N140" s="455">
        <f t="shared" si="12"/>
        <v>1312.1867864000003</v>
      </c>
      <c r="O140" s="113"/>
      <c r="P140" s="120"/>
    </row>
    <row r="141" spans="1:16" s="18" customFormat="1" ht="15" customHeight="1">
      <c r="A141" s="457" t="s">
        <v>317</v>
      </c>
      <c r="B141" s="457" t="s">
        <v>318</v>
      </c>
      <c r="C141" s="457" t="s">
        <v>78</v>
      </c>
      <c r="D141" s="458">
        <v>40812</v>
      </c>
      <c r="E141" s="459">
        <v>9000</v>
      </c>
      <c r="F141" s="460">
        <v>0.17</v>
      </c>
      <c r="G141" s="461">
        <f t="shared" si="19"/>
        <v>1530</v>
      </c>
      <c r="H141" s="468"/>
      <c r="I141" s="458">
        <v>40837</v>
      </c>
      <c r="J141" s="460">
        <v>0.28100000000000003</v>
      </c>
      <c r="K141" s="464">
        <f t="shared" si="20"/>
        <v>2529.0000000000005</v>
      </c>
      <c r="L141" s="465">
        <f t="shared" si="21"/>
        <v>-999.00000000000045</v>
      </c>
      <c r="M141" s="496">
        <v>1.02291</v>
      </c>
      <c r="N141" s="467">
        <f t="shared" si="12"/>
        <v>-1021.8870900000004</v>
      </c>
      <c r="O141" s="113"/>
      <c r="P141" s="120"/>
    </row>
    <row r="142" spans="1:16" s="8" customFormat="1" ht="15" customHeight="1">
      <c r="A142" s="446" t="s">
        <v>319</v>
      </c>
      <c r="B142" s="446" t="s">
        <v>320</v>
      </c>
      <c r="C142" s="446" t="s">
        <v>53</v>
      </c>
      <c r="D142" s="447">
        <v>40826</v>
      </c>
      <c r="E142" s="448">
        <v>1204</v>
      </c>
      <c r="F142" s="449">
        <v>8.75</v>
      </c>
      <c r="G142" s="450">
        <f t="shared" si="19"/>
        <v>10535</v>
      </c>
      <c r="H142" s="504"/>
      <c r="I142" s="447">
        <v>40842</v>
      </c>
      <c r="J142" s="449">
        <v>7.92</v>
      </c>
      <c r="K142" s="453">
        <f t="shared" ref="K142:K149" si="22">SUM(E142*J142)</f>
        <v>9535.68</v>
      </c>
      <c r="L142" s="454">
        <f>SUM(K142-G142)</f>
        <v>-999.31999999999971</v>
      </c>
      <c r="M142" s="495">
        <v>1.0427200000000001</v>
      </c>
      <c r="N142" s="455">
        <f t="shared" si="12"/>
        <v>-1042.0109503999997</v>
      </c>
      <c r="O142" s="113"/>
      <c r="P142" s="119"/>
    </row>
    <row r="143" spans="1:16" s="18" customFormat="1" ht="15" customHeight="1">
      <c r="A143" s="457" t="s">
        <v>321</v>
      </c>
      <c r="B143" s="457" t="s">
        <v>322</v>
      </c>
      <c r="C143" s="457" t="s">
        <v>78</v>
      </c>
      <c r="D143" s="458">
        <v>40687</v>
      </c>
      <c r="E143" s="459">
        <v>594</v>
      </c>
      <c r="F143" s="460">
        <v>16.850000000000001</v>
      </c>
      <c r="G143" s="461">
        <f t="shared" si="19"/>
        <v>10008.900000000001</v>
      </c>
      <c r="H143" s="468"/>
      <c r="I143" s="447">
        <v>40842</v>
      </c>
      <c r="J143" s="460">
        <v>15.76</v>
      </c>
      <c r="K143" s="464">
        <f t="shared" si="22"/>
        <v>9361.44</v>
      </c>
      <c r="L143" s="454">
        <f>SUM(G143-K143)</f>
        <v>647.46000000000095</v>
      </c>
      <c r="M143" s="496">
        <v>1.0427200000000001</v>
      </c>
      <c r="N143" s="455">
        <f t="shared" si="12"/>
        <v>675.11949120000099</v>
      </c>
      <c r="O143" s="113"/>
      <c r="P143" s="120"/>
    </row>
    <row r="144" spans="1:16" s="18" customFormat="1" ht="15" customHeight="1">
      <c r="A144" s="457" t="s">
        <v>323</v>
      </c>
      <c r="B144" s="457" t="s">
        <v>324</v>
      </c>
      <c r="C144" s="457" t="s">
        <v>78</v>
      </c>
      <c r="D144" s="458">
        <v>40646</v>
      </c>
      <c r="E144" s="459">
        <v>1547</v>
      </c>
      <c r="F144" s="460">
        <v>7.11</v>
      </c>
      <c r="G144" s="461">
        <f t="shared" si="19"/>
        <v>10999.17</v>
      </c>
      <c r="H144" s="468"/>
      <c r="I144" s="458">
        <v>40842</v>
      </c>
      <c r="J144" s="460">
        <v>4.13</v>
      </c>
      <c r="K144" s="464">
        <f t="shared" si="22"/>
        <v>6389.11</v>
      </c>
      <c r="L144" s="454">
        <f>SUM(G144-K144)</f>
        <v>4610.0600000000004</v>
      </c>
      <c r="M144" s="496">
        <v>1.0427200000000001</v>
      </c>
      <c r="N144" s="455">
        <f t="shared" si="12"/>
        <v>4807.0017632000008</v>
      </c>
      <c r="O144" s="113"/>
      <c r="P144" s="120"/>
    </row>
    <row r="145" spans="1:16" s="18" customFormat="1" ht="15" customHeight="1">
      <c r="A145" s="457" t="s">
        <v>325</v>
      </c>
      <c r="B145" s="457" t="s">
        <v>326</v>
      </c>
      <c r="C145" s="457" t="s">
        <v>78</v>
      </c>
      <c r="D145" s="458">
        <v>40665</v>
      </c>
      <c r="E145" s="459">
        <v>5618</v>
      </c>
      <c r="F145" s="460">
        <v>2.67</v>
      </c>
      <c r="G145" s="461">
        <f t="shared" si="19"/>
        <v>15000.06</v>
      </c>
      <c r="H145" s="468"/>
      <c r="I145" s="458">
        <v>40858</v>
      </c>
      <c r="J145" s="460">
        <v>2.2090000000000001</v>
      </c>
      <c r="K145" s="464">
        <f t="shared" si="22"/>
        <v>12410.162</v>
      </c>
      <c r="L145" s="454">
        <f>SUM(G145-K145)</f>
        <v>2589.8979999999992</v>
      </c>
      <c r="M145" s="496">
        <v>1.0147699999999999</v>
      </c>
      <c r="N145" s="455">
        <f t="shared" si="12"/>
        <v>2628.150793459999</v>
      </c>
      <c r="O145" s="113"/>
      <c r="P145" s="120"/>
    </row>
    <row r="146" spans="1:16" s="18" customFormat="1" ht="15" customHeight="1">
      <c r="A146" s="446" t="s">
        <v>327</v>
      </c>
      <c r="B146" s="446" t="s">
        <v>328</v>
      </c>
      <c r="C146" s="446" t="s">
        <v>53</v>
      </c>
      <c r="D146" s="447">
        <v>40844</v>
      </c>
      <c r="E146" s="448">
        <v>50000</v>
      </c>
      <c r="F146" s="449">
        <v>1.109</v>
      </c>
      <c r="G146" s="450">
        <f t="shared" si="19"/>
        <v>55450</v>
      </c>
      <c r="H146" s="504"/>
      <c r="I146" s="497">
        <v>40862</v>
      </c>
      <c r="J146" s="500">
        <v>1.1000000000000001</v>
      </c>
      <c r="K146" s="453">
        <f t="shared" si="22"/>
        <v>55000.000000000007</v>
      </c>
      <c r="L146" s="454">
        <f>SUM(K146-G146)</f>
        <v>-449.99999999999272</v>
      </c>
      <c r="M146" s="495">
        <v>1.0197499999999999</v>
      </c>
      <c r="N146" s="455">
        <f t="shared" si="12"/>
        <v>-458.88749999999254</v>
      </c>
      <c r="O146" s="113"/>
      <c r="P146" s="120"/>
    </row>
    <row r="147" spans="1:16" s="18" customFormat="1" ht="15" customHeight="1">
      <c r="A147" s="457" t="s">
        <v>329</v>
      </c>
      <c r="B147" s="457" t="s">
        <v>330</v>
      </c>
      <c r="C147" s="457" t="s">
        <v>78</v>
      </c>
      <c r="D147" s="458">
        <v>40700</v>
      </c>
      <c r="E147" s="459">
        <v>4975</v>
      </c>
      <c r="F147" s="460">
        <v>2.0099999999999998</v>
      </c>
      <c r="G147" s="461">
        <f t="shared" si="19"/>
        <v>9999.7499999999982</v>
      </c>
      <c r="H147" s="468"/>
      <c r="I147" s="458">
        <v>40863</v>
      </c>
      <c r="J147" s="460">
        <v>1.7050000000000001</v>
      </c>
      <c r="K147" s="464">
        <f t="shared" si="22"/>
        <v>8482.375</v>
      </c>
      <c r="L147" s="454">
        <f>SUM(G147-K147)</f>
        <v>1517.3749999999982</v>
      </c>
      <c r="M147" s="496">
        <v>1.01766</v>
      </c>
      <c r="N147" s="455">
        <f t="shared" si="12"/>
        <v>1544.1718424999981</v>
      </c>
      <c r="O147" s="113"/>
      <c r="P147" s="120"/>
    </row>
    <row r="148" spans="1:16" s="18" customFormat="1" ht="15" customHeight="1">
      <c r="A148" s="446" t="s">
        <v>331</v>
      </c>
      <c r="B148" s="446" t="s">
        <v>162</v>
      </c>
      <c r="C148" s="446" t="s">
        <v>53</v>
      </c>
      <c r="D148" s="447">
        <v>40798</v>
      </c>
      <c r="E148" s="448">
        <v>8300</v>
      </c>
      <c r="F148" s="449">
        <v>3.53</v>
      </c>
      <c r="G148" s="450">
        <f t="shared" si="19"/>
        <v>29299</v>
      </c>
      <c r="H148" s="504"/>
      <c r="I148" s="497">
        <v>40865</v>
      </c>
      <c r="J148" s="500">
        <v>3.41</v>
      </c>
      <c r="K148" s="453">
        <f t="shared" si="22"/>
        <v>28303</v>
      </c>
      <c r="L148" s="454">
        <f>SUM(K148-G148)</f>
        <v>-996</v>
      </c>
      <c r="M148" s="495">
        <v>0.99973999999999996</v>
      </c>
      <c r="N148" s="455">
        <f t="shared" si="12"/>
        <v>-995.74104</v>
      </c>
      <c r="O148" s="113"/>
      <c r="P148" s="120"/>
    </row>
    <row r="149" spans="1:16" s="18" customFormat="1" ht="15" customHeight="1">
      <c r="A149" s="457" t="s">
        <v>332</v>
      </c>
      <c r="B149" s="457" t="s">
        <v>333</v>
      </c>
      <c r="C149" s="457" t="s">
        <v>78</v>
      </c>
      <c r="D149" s="458">
        <v>40714</v>
      </c>
      <c r="E149" s="459">
        <v>3690</v>
      </c>
      <c r="F149" s="460">
        <v>2.71</v>
      </c>
      <c r="G149" s="461">
        <f t="shared" si="19"/>
        <v>9999.9</v>
      </c>
      <c r="H149" s="468"/>
      <c r="I149" s="458">
        <v>40865</v>
      </c>
      <c r="J149" s="460">
        <v>2.488</v>
      </c>
      <c r="K149" s="464">
        <f t="shared" si="22"/>
        <v>9180.7199999999993</v>
      </c>
      <c r="L149" s="454">
        <f>SUM(G149-K149)</f>
        <v>819.18000000000029</v>
      </c>
      <c r="M149" s="496">
        <v>0.99973999999999996</v>
      </c>
      <c r="N149" s="455">
        <f t="shared" si="12"/>
        <v>818.96701320000022</v>
      </c>
      <c r="O149" s="113"/>
      <c r="P149" s="120"/>
    </row>
    <row r="150" spans="1:16" s="18" customFormat="1" ht="15" customHeight="1">
      <c r="A150" s="446" t="s">
        <v>334</v>
      </c>
      <c r="B150" s="446" t="s">
        <v>335</v>
      </c>
      <c r="C150" s="446" t="s">
        <v>53</v>
      </c>
      <c r="D150" s="447">
        <v>40856</v>
      </c>
      <c r="E150" s="448">
        <v>16600</v>
      </c>
      <c r="F150" s="449">
        <v>0.82299999999999995</v>
      </c>
      <c r="G150" s="450">
        <f t="shared" si="19"/>
        <v>13661.8</v>
      </c>
      <c r="H150" s="504"/>
      <c r="I150" s="497">
        <v>40868</v>
      </c>
      <c r="J150" s="500">
        <v>0.79900000000000004</v>
      </c>
      <c r="K150" s="453">
        <f t="shared" ref="K150:K156" si="23">SUM(E150*J150)</f>
        <v>13263.400000000001</v>
      </c>
      <c r="L150" s="454">
        <f t="shared" ref="L150:L156" si="24">SUM(K150-G150)</f>
        <v>-398.39999999999782</v>
      </c>
      <c r="M150" s="495">
        <v>0.99992999999999999</v>
      </c>
      <c r="N150" s="455">
        <f t="shared" si="12"/>
        <v>-398.3721119999978</v>
      </c>
      <c r="O150" s="113"/>
      <c r="P150" s="120"/>
    </row>
    <row r="151" spans="1:16" s="18" customFormat="1" ht="15" customHeight="1">
      <c r="A151" s="446" t="s">
        <v>336</v>
      </c>
      <c r="B151" s="446" t="s">
        <v>337</v>
      </c>
      <c r="C151" s="446" t="s">
        <v>53</v>
      </c>
      <c r="D151" s="447">
        <v>40798</v>
      </c>
      <c r="E151" s="448">
        <v>20000</v>
      </c>
      <c r="F151" s="449">
        <v>0.73499999999999999</v>
      </c>
      <c r="G151" s="450">
        <f t="shared" si="19"/>
        <v>14700</v>
      </c>
      <c r="H151" s="504"/>
      <c r="I151" s="497">
        <v>40875</v>
      </c>
      <c r="J151" s="500">
        <v>0.84</v>
      </c>
      <c r="K151" s="453">
        <f t="shared" si="23"/>
        <v>16800</v>
      </c>
      <c r="L151" s="454">
        <f t="shared" si="24"/>
        <v>2100</v>
      </c>
      <c r="M151" s="495">
        <v>0.98133000000000004</v>
      </c>
      <c r="N151" s="455">
        <f t="shared" si="12"/>
        <v>2060.7930000000001</v>
      </c>
      <c r="O151" s="113"/>
      <c r="P151" s="120"/>
    </row>
    <row r="152" spans="1:16" s="18" customFormat="1" ht="15" customHeight="1">
      <c r="A152" s="446" t="s">
        <v>338</v>
      </c>
      <c r="B152" s="446" t="s">
        <v>339</v>
      </c>
      <c r="C152" s="446" t="s">
        <v>53</v>
      </c>
      <c r="D152" s="447">
        <v>40854</v>
      </c>
      <c r="E152" s="448">
        <v>17241</v>
      </c>
      <c r="F152" s="449">
        <v>0.82899999999999996</v>
      </c>
      <c r="G152" s="450">
        <f t="shared" si="19"/>
        <v>14292.788999999999</v>
      </c>
      <c r="H152" s="504"/>
      <c r="I152" s="497">
        <v>40891</v>
      </c>
      <c r="J152" s="500">
        <v>0.83</v>
      </c>
      <c r="K152" s="453">
        <f t="shared" si="23"/>
        <v>14310.029999999999</v>
      </c>
      <c r="L152" s="454">
        <f t="shared" si="24"/>
        <v>17.240999999999985</v>
      </c>
      <c r="M152" s="495">
        <v>1.0015700000000001</v>
      </c>
      <c r="N152" s="455">
        <f t="shared" si="12"/>
        <v>17.268068369999988</v>
      </c>
      <c r="O152" s="113"/>
      <c r="P152" s="120"/>
    </row>
    <row r="153" spans="1:16" s="18" customFormat="1" ht="15" customHeight="1">
      <c r="A153" s="446" t="s">
        <v>220</v>
      </c>
      <c r="B153" s="446" t="s">
        <v>221</v>
      </c>
      <c r="C153" s="446" t="s">
        <v>53</v>
      </c>
      <c r="D153" s="447">
        <v>40869</v>
      </c>
      <c r="E153" s="448">
        <v>7576</v>
      </c>
      <c r="F153" s="449">
        <v>4.4960000000000004</v>
      </c>
      <c r="G153" s="450">
        <f t="shared" si="19"/>
        <v>34061.696000000004</v>
      </c>
      <c r="H153" s="504"/>
      <c r="I153" s="497">
        <v>40891</v>
      </c>
      <c r="J153" s="500">
        <v>4.4710000000000001</v>
      </c>
      <c r="K153" s="453">
        <f t="shared" si="23"/>
        <v>33872.296000000002</v>
      </c>
      <c r="L153" s="454">
        <f t="shared" si="24"/>
        <v>-189.40000000000146</v>
      </c>
      <c r="M153" s="495">
        <v>1.0015700000000001</v>
      </c>
      <c r="N153" s="455">
        <f t="shared" si="12"/>
        <v>-189.69735800000146</v>
      </c>
      <c r="O153" s="113"/>
      <c r="P153" s="120"/>
    </row>
    <row r="154" spans="1:16" s="18" customFormat="1" ht="15" customHeight="1">
      <c r="A154" s="446" t="s">
        <v>340</v>
      </c>
      <c r="B154" s="446" t="s">
        <v>341</v>
      </c>
      <c r="C154" s="446" t="s">
        <v>53</v>
      </c>
      <c r="D154" s="447">
        <v>40864</v>
      </c>
      <c r="E154" s="448">
        <v>15151</v>
      </c>
      <c r="F154" s="449">
        <v>0.58799999999999997</v>
      </c>
      <c r="G154" s="450">
        <f t="shared" si="19"/>
        <v>8908.7879999999986</v>
      </c>
      <c r="H154" s="504"/>
      <c r="I154" s="497">
        <v>40892</v>
      </c>
      <c r="J154" s="500">
        <v>0.54500000000000004</v>
      </c>
      <c r="K154" s="453">
        <f t="shared" si="23"/>
        <v>8257.2950000000001</v>
      </c>
      <c r="L154" s="454">
        <f t="shared" si="24"/>
        <v>-651.49299999999857</v>
      </c>
      <c r="M154" s="495">
        <v>0.99090999999999996</v>
      </c>
      <c r="N154" s="455">
        <f t="shared" si="12"/>
        <v>-645.57092862999855</v>
      </c>
      <c r="O154" s="113"/>
      <c r="P154" s="120"/>
    </row>
    <row r="155" spans="1:16" s="18" customFormat="1" ht="15" customHeight="1">
      <c r="A155" s="446" t="s">
        <v>248</v>
      </c>
      <c r="B155" s="446" t="s">
        <v>249</v>
      </c>
      <c r="C155" s="446" t="s">
        <v>53</v>
      </c>
      <c r="D155" s="447">
        <v>40865</v>
      </c>
      <c r="E155" s="448">
        <v>9090</v>
      </c>
      <c r="F155" s="449">
        <v>1.325</v>
      </c>
      <c r="G155" s="450">
        <f t="shared" si="19"/>
        <v>12044.25</v>
      </c>
      <c r="H155" s="504"/>
      <c r="I155" s="497">
        <v>40896</v>
      </c>
      <c r="J155" s="500">
        <v>1.3089999999999999</v>
      </c>
      <c r="K155" s="453">
        <f t="shared" si="23"/>
        <v>11898.81</v>
      </c>
      <c r="L155" s="454">
        <f t="shared" si="24"/>
        <v>-145.44000000000051</v>
      </c>
      <c r="M155" s="495">
        <v>0.99868999999999997</v>
      </c>
      <c r="N155" s="455">
        <f t="shared" si="12"/>
        <v>-145.2494736000005</v>
      </c>
      <c r="O155" s="113"/>
      <c r="P155" s="120"/>
    </row>
    <row r="156" spans="1:16" s="18" customFormat="1" ht="15" customHeight="1">
      <c r="A156" s="446" t="s">
        <v>342</v>
      </c>
      <c r="B156" s="446" t="s">
        <v>343</v>
      </c>
      <c r="C156" s="446" t="s">
        <v>53</v>
      </c>
      <c r="D156" s="447">
        <v>40893</v>
      </c>
      <c r="E156" s="448">
        <v>7142</v>
      </c>
      <c r="F156" s="449">
        <v>2.31</v>
      </c>
      <c r="G156" s="450">
        <f t="shared" si="19"/>
        <v>16498.02</v>
      </c>
      <c r="H156" s="504"/>
      <c r="I156" s="497">
        <v>40896</v>
      </c>
      <c r="J156" s="500">
        <v>2.2400000000000002</v>
      </c>
      <c r="K156" s="453">
        <f t="shared" si="23"/>
        <v>15998.080000000002</v>
      </c>
      <c r="L156" s="454">
        <f t="shared" si="24"/>
        <v>-499.93999999999869</v>
      </c>
      <c r="M156" s="495">
        <v>0.99868999999999997</v>
      </c>
      <c r="N156" s="455">
        <f t="shared" si="12"/>
        <v>-499.28507859999866</v>
      </c>
      <c r="O156" s="113"/>
      <c r="P156" s="120"/>
    </row>
    <row r="157" spans="1:16" s="18" customFormat="1" ht="15" customHeight="1">
      <c r="A157" s="457" t="s">
        <v>246</v>
      </c>
      <c r="B157" s="457" t="s">
        <v>247</v>
      </c>
      <c r="C157" s="457" t="s">
        <v>78</v>
      </c>
      <c r="D157" s="458" t="s">
        <v>393</v>
      </c>
      <c r="E157" s="459">
        <v>8928</v>
      </c>
      <c r="F157" s="460">
        <v>0.70399999999999996</v>
      </c>
      <c r="G157" s="461">
        <f t="shared" si="19"/>
        <v>6285.3119999999999</v>
      </c>
      <c r="H157" s="468"/>
      <c r="I157" s="458">
        <v>40912</v>
      </c>
      <c r="J157" s="460">
        <v>0.77500000000000002</v>
      </c>
      <c r="K157" s="464">
        <f t="shared" ref="K157:K162" si="25">SUM(E157*J157)</f>
        <v>6919.2</v>
      </c>
      <c r="L157" s="465">
        <f t="shared" ref="L157:L167" si="26">SUM(G157-K157)</f>
        <v>-633.88799999999992</v>
      </c>
      <c r="M157" s="496">
        <v>1.03749</v>
      </c>
      <c r="N157" s="467">
        <f t="shared" ref="N157:N220" si="27">SUM(L157*M157)</f>
        <v>-657.65246111999988</v>
      </c>
      <c r="O157" s="113"/>
      <c r="P157" s="120"/>
    </row>
    <row r="158" spans="1:16" s="18" customFormat="1" ht="15" customHeight="1">
      <c r="A158" s="457" t="s">
        <v>344</v>
      </c>
      <c r="B158" s="457" t="s">
        <v>345</v>
      </c>
      <c r="C158" s="457" t="s">
        <v>78</v>
      </c>
      <c r="D158" s="458">
        <v>40666</v>
      </c>
      <c r="E158" s="459">
        <v>4658</v>
      </c>
      <c r="F158" s="460">
        <v>3.22</v>
      </c>
      <c r="G158" s="461">
        <f t="shared" si="19"/>
        <v>14998.76</v>
      </c>
      <c r="H158" s="468"/>
      <c r="I158" s="458">
        <v>40920</v>
      </c>
      <c r="J158" s="460">
        <v>1.5149999999999999</v>
      </c>
      <c r="K158" s="464">
        <f t="shared" si="25"/>
        <v>7056.87</v>
      </c>
      <c r="L158" s="454">
        <f t="shared" si="26"/>
        <v>7941.89</v>
      </c>
      <c r="M158" s="496">
        <v>1.03095</v>
      </c>
      <c r="N158" s="455">
        <f t="shared" si="27"/>
        <v>8187.6914955000002</v>
      </c>
      <c r="O158" s="113"/>
      <c r="P158" s="120"/>
    </row>
    <row r="159" spans="1:16" s="18" customFormat="1" ht="15" customHeight="1">
      <c r="A159" s="457" t="s">
        <v>346</v>
      </c>
      <c r="B159" s="457" t="s">
        <v>347</v>
      </c>
      <c r="C159" s="457" t="s">
        <v>78</v>
      </c>
      <c r="D159" s="458">
        <v>40652</v>
      </c>
      <c r="E159" s="459">
        <v>9561</v>
      </c>
      <c r="F159" s="460">
        <v>1.2549999999999999</v>
      </c>
      <c r="G159" s="461">
        <f t="shared" si="19"/>
        <v>11999.054999999998</v>
      </c>
      <c r="H159" s="468"/>
      <c r="I159" s="458">
        <v>40920</v>
      </c>
      <c r="J159" s="460">
        <v>0.73</v>
      </c>
      <c r="K159" s="464">
        <f t="shared" si="25"/>
        <v>6979.53</v>
      </c>
      <c r="L159" s="454">
        <f t="shared" si="26"/>
        <v>5019.5249999999987</v>
      </c>
      <c r="M159" s="496">
        <v>1.03095</v>
      </c>
      <c r="N159" s="455">
        <f t="shared" si="27"/>
        <v>5174.8792987499992</v>
      </c>
      <c r="O159" s="113"/>
      <c r="P159" s="120"/>
    </row>
    <row r="160" spans="1:16" s="18" customFormat="1" ht="15" customHeight="1">
      <c r="A160" s="457" t="s">
        <v>348</v>
      </c>
      <c r="B160" s="457" t="s">
        <v>349</v>
      </c>
      <c r="C160" s="457" t="s">
        <v>78</v>
      </c>
      <c r="D160" s="458">
        <v>40905</v>
      </c>
      <c r="E160" s="459">
        <v>4587</v>
      </c>
      <c r="F160" s="460">
        <v>1.141</v>
      </c>
      <c r="G160" s="461">
        <f t="shared" si="19"/>
        <v>5233.7669999999998</v>
      </c>
      <c r="H160" s="468"/>
      <c r="I160" s="458">
        <v>40920</v>
      </c>
      <c r="J160" s="460">
        <v>1.335</v>
      </c>
      <c r="K160" s="464">
        <f t="shared" si="25"/>
        <v>6123.6449999999995</v>
      </c>
      <c r="L160" s="465">
        <f t="shared" si="26"/>
        <v>-889.8779999999997</v>
      </c>
      <c r="M160" s="496">
        <v>1.03095</v>
      </c>
      <c r="N160" s="467">
        <f t="shared" si="27"/>
        <v>-917.41972409999971</v>
      </c>
      <c r="O160" s="113"/>
      <c r="P160" s="120"/>
    </row>
    <row r="161" spans="1:16" s="18" customFormat="1" ht="15" customHeight="1">
      <c r="A161" s="457" t="s">
        <v>350</v>
      </c>
      <c r="B161" s="457" t="s">
        <v>351</v>
      </c>
      <c r="C161" s="457" t="s">
        <v>78</v>
      </c>
      <c r="D161" s="458">
        <v>40871</v>
      </c>
      <c r="E161" s="459">
        <v>2667</v>
      </c>
      <c r="F161" s="460">
        <v>2.875</v>
      </c>
      <c r="G161" s="461">
        <f t="shared" si="19"/>
        <v>7667.625</v>
      </c>
      <c r="H161" s="468"/>
      <c r="I161" s="458">
        <v>40920</v>
      </c>
      <c r="J161" s="460">
        <v>3.141</v>
      </c>
      <c r="K161" s="464">
        <f t="shared" si="25"/>
        <v>8377.0470000000005</v>
      </c>
      <c r="L161" s="465">
        <f t="shared" si="26"/>
        <v>-709.42200000000048</v>
      </c>
      <c r="M161" s="496">
        <v>1.03095</v>
      </c>
      <c r="N161" s="467">
        <f t="shared" si="27"/>
        <v>-731.37861090000047</v>
      </c>
      <c r="O161" s="113"/>
      <c r="P161" s="120"/>
    </row>
    <row r="162" spans="1:16" s="18" customFormat="1" ht="15" customHeight="1">
      <c r="A162" s="457" t="s">
        <v>325</v>
      </c>
      <c r="B162" s="457" t="s">
        <v>326</v>
      </c>
      <c r="C162" s="457" t="s">
        <v>78</v>
      </c>
      <c r="D162" s="458">
        <v>40871</v>
      </c>
      <c r="E162" s="459">
        <v>4000</v>
      </c>
      <c r="F162" s="460">
        <v>1.85</v>
      </c>
      <c r="G162" s="461">
        <f t="shared" si="19"/>
        <v>7400</v>
      </c>
      <c r="H162" s="468"/>
      <c r="I162" s="458">
        <v>40924</v>
      </c>
      <c r="J162" s="460">
        <v>1.994</v>
      </c>
      <c r="K162" s="464">
        <f t="shared" si="25"/>
        <v>7976</v>
      </c>
      <c r="L162" s="465">
        <f t="shared" si="26"/>
        <v>-576</v>
      </c>
      <c r="M162" s="496">
        <v>1.02912</v>
      </c>
      <c r="N162" s="467">
        <f t="shared" si="27"/>
        <v>-592.77312000000006</v>
      </c>
      <c r="O162" s="113"/>
      <c r="P162" s="120"/>
    </row>
    <row r="163" spans="1:16" s="18" customFormat="1" ht="15" customHeight="1">
      <c r="A163" s="457" t="s">
        <v>352</v>
      </c>
      <c r="B163" s="457" t="s">
        <v>219</v>
      </c>
      <c r="C163" s="457" t="s">
        <v>78</v>
      </c>
      <c r="D163" s="458">
        <v>40868</v>
      </c>
      <c r="E163" s="459">
        <v>5000</v>
      </c>
      <c r="F163" s="460">
        <v>2.145</v>
      </c>
      <c r="G163" s="461">
        <f t="shared" si="19"/>
        <v>10725</v>
      </c>
      <c r="H163" s="468"/>
      <c r="I163" s="458">
        <v>40932</v>
      </c>
      <c r="J163" s="460">
        <v>2.1230000000000002</v>
      </c>
      <c r="K163" s="464">
        <f t="shared" ref="K163:K172" si="28">SUM(E163*J163)</f>
        <v>10615.000000000002</v>
      </c>
      <c r="L163" s="465">
        <f t="shared" si="26"/>
        <v>109.99999999999818</v>
      </c>
      <c r="M163" s="496">
        <v>1.0523</v>
      </c>
      <c r="N163" s="455">
        <f t="shared" si="27"/>
        <v>115.75299999999808</v>
      </c>
      <c r="O163" s="113"/>
      <c r="P163" s="120"/>
    </row>
    <row r="164" spans="1:16" s="18" customFormat="1" ht="15" customHeight="1">
      <c r="A164" s="457" t="s">
        <v>254</v>
      </c>
      <c r="B164" s="457" t="s">
        <v>255</v>
      </c>
      <c r="C164" s="457" t="s">
        <v>78</v>
      </c>
      <c r="D164" s="458">
        <v>40871</v>
      </c>
      <c r="E164" s="459">
        <v>8475</v>
      </c>
      <c r="F164" s="460">
        <v>1.056</v>
      </c>
      <c r="G164" s="461">
        <f t="shared" ref="G164:G195" si="29">SUM(E164*F164)</f>
        <v>8949.6</v>
      </c>
      <c r="H164" s="468"/>
      <c r="I164" s="458">
        <v>40935</v>
      </c>
      <c r="J164" s="460">
        <v>1.1100000000000001</v>
      </c>
      <c r="K164" s="464">
        <f t="shared" si="28"/>
        <v>9407.25</v>
      </c>
      <c r="L164" s="465">
        <f t="shared" si="26"/>
        <v>-457.64999999999964</v>
      </c>
      <c r="M164" s="496">
        <v>1.0628899999999999</v>
      </c>
      <c r="N164" s="467">
        <f t="shared" si="27"/>
        <v>-486.43160849999958</v>
      </c>
      <c r="O164" s="113"/>
      <c r="P164" s="120"/>
    </row>
    <row r="165" spans="1:16" s="18" customFormat="1" ht="15" customHeight="1">
      <c r="A165" s="457" t="s">
        <v>353</v>
      </c>
      <c r="B165" s="457" t="s">
        <v>354</v>
      </c>
      <c r="C165" s="457" t="s">
        <v>78</v>
      </c>
      <c r="D165" s="458">
        <v>40897</v>
      </c>
      <c r="E165" s="459">
        <v>246</v>
      </c>
      <c r="F165" s="460">
        <v>30.45</v>
      </c>
      <c r="G165" s="461">
        <f t="shared" si="29"/>
        <v>7490.7</v>
      </c>
      <c r="H165" s="468"/>
      <c r="I165" s="458">
        <v>40935</v>
      </c>
      <c r="J165" s="460">
        <v>34.200000000000003</v>
      </c>
      <c r="K165" s="464">
        <f t="shared" si="28"/>
        <v>8413.2000000000007</v>
      </c>
      <c r="L165" s="465">
        <f t="shared" si="26"/>
        <v>-922.50000000000091</v>
      </c>
      <c r="M165" s="496">
        <v>1.0628899999999999</v>
      </c>
      <c r="N165" s="467">
        <f t="shared" si="27"/>
        <v>-980.51602500000081</v>
      </c>
      <c r="O165" s="113"/>
      <c r="P165" s="120"/>
    </row>
    <row r="166" spans="1:16" s="18" customFormat="1" ht="15" customHeight="1">
      <c r="A166" s="457" t="s">
        <v>311</v>
      </c>
      <c r="B166" s="457" t="s">
        <v>312</v>
      </c>
      <c r="C166" s="457" t="s">
        <v>78</v>
      </c>
      <c r="D166" s="458">
        <v>40905</v>
      </c>
      <c r="E166" s="459">
        <v>1894</v>
      </c>
      <c r="F166" s="460">
        <v>2.3159999999999998</v>
      </c>
      <c r="G166" s="461">
        <f>SUM(E166*F166)</f>
        <v>4386.5039999999999</v>
      </c>
      <c r="H166" s="468"/>
      <c r="I166" s="458">
        <v>40939</v>
      </c>
      <c r="J166" s="460">
        <v>2.4889999999999999</v>
      </c>
      <c r="K166" s="464">
        <f>SUM(E166*J166)</f>
        <v>4714.1660000000002</v>
      </c>
      <c r="L166" s="465">
        <f>SUM(G166-K166)</f>
        <v>-327.66200000000026</v>
      </c>
      <c r="M166" s="496">
        <v>1.05966</v>
      </c>
      <c r="N166" s="467">
        <f>SUM(L166*M166)</f>
        <v>-347.21031492000031</v>
      </c>
      <c r="O166" s="113"/>
      <c r="P166" s="120"/>
    </row>
    <row r="167" spans="1:16" s="18" customFormat="1" ht="15" customHeight="1">
      <c r="A167" s="457" t="s">
        <v>355</v>
      </c>
      <c r="B167" s="457" t="s">
        <v>356</v>
      </c>
      <c r="C167" s="457" t="s">
        <v>78</v>
      </c>
      <c r="D167" s="458">
        <v>40679</v>
      </c>
      <c r="E167" s="459">
        <v>15075</v>
      </c>
      <c r="F167" s="460">
        <v>0.99</v>
      </c>
      <c r="G167" s="461">
        <f t="shared" si="29"/>
        <v>14924.25</v>
      </c>
      <c r="H167" s="468"/>
      <c r="I167" s="458">
        <v>40940</v>
      </c>
      <c r="J167" s="460">
        <v>0.47199999999999998</v>
      </c>
      <c r="K167" s="464">
        <f t="shared" si="28"/>
        <v>7115.4</v>
      </c>
      <c r="L167" s="454">
        <f t="shared" si="26"/>
        <v>7808.85</v>
      </c>
      <c r="M167" s="496">
        <v>1.0619700000000001</v>
      </c>
      <c r="N167" s="455">
        <f t="shared" si="27"/>
        <v>8292.7644345000008</v>
      </c>
      <c r="O167" s="113"/>
      <c r="P167" s="120"/>
    </row>
    <row r="168" spans="1:16" s="8" customFormat="1" ht="15" customHeight="1">
      <c r="A168" s="498" t="s">
        <v>394</v>
      </c>
      <c r="B168" s="498" t="s">
        <v>395</v>
      </c>
      <c r="C168" s="498" t="s">
        <v>53</v>
      </c>
      <c r="D168" s="497">
        <v>40905</v>
      </c>
      <c r="E168" s="499">
        <v>1894</v>
      </c>
      <c r="F168" s="500">
        <v>18.66</v>
      </c>
      <c r="G168" s="450">
        <f t="shared" si="29"/>
        <v>35342.04</v>
      </c>
      <c r="H168" s="504"/>
      <c r="I168" s="497">
        <v>40941</v>
      </c>
      <c r="J168" s="500">
        <v>18.260000000000002</v>
      </c>
      <c r="K168" s="453">
        <f>SUM(E168*J168)</f>
        <v>34584.44</v>
      </c>
      <c r="L168" s="454">
        <f>SUM(K168-G168)</f>
        <v>-757.59999999999854</v>
      </c>
      <c r="M168" s="495">
        <v>1.07039</v>
      </c>
      <c r="N168" s="455">
        <f t="shared" si="27"/>
        <v>-810.92746399999839</v>
      </c>
      <c r="O168" s="114"/>
      <c r="P168" s="119"/>
    </row>
    <row r="169" spans="1:16" s="18" customFormat="1" ht="15.75">
      <c r="A169" s="457" t="s">
        <v>357</v>
      </c>
      <c r="B169" s="457" t="s">
        <v>358</v>
      </c>
      <c r="C169" s="457" t="s">
        <v>78</v>
      </c>
      <c r="D169" s="458">
        <v>40671</v>
      </c>
      <c r="E169" s="459">
        <v>7017</v>
      </c>
      <c r="F169" s="460">
        <v>1.425</v>
      </c>
      <c r="G169" s="461">
        <f t="shared" si="29"/>
        <v>9999.2250000000004</v>
      </c>
      <c r="H169" s="468"/>
      <c r="I169" s="458">
        <v>40945</v>
      </c>
      <c r="J169" s="460">
        <v>0.79</v>
      </c>
      <c r="K169" s="464">
        <f t="shared" si="28"/>
        <v>5543.43</v>
      </c>
      <c r="L169" s="454">
        <f>SUM(G169-K169)</f>
        <v>4455.7950000000001</v>
      </c>
      <c r="M169" s="496">
        <v>1.07572</v>
      </c>
      <c r="N169" s="455">
        <f t="shared" si="27"/>
        <v>4793.1877973999999</v>
      </c>
      <c r="O169" s="113"/>
      <c r="P169" s="120"/>
    </row>
    <row r="170" spans="1:16" s="18" customFormat="1" ht="15" customHeight="1">
      <c r="A170" s="457" t="s">
        <v>365</v>
      </c>
      <c r="B170" s="457" t="s">
        <v>366</v>
      </c>
      <c r="C170" s="457" t="s">
        <v>78</v>
      </c>
      <c r="D170" s="458">
        <v>40871</v>
      </c>
      <c r="E170" s="459">
        <v>11764</v>
      </c>
      <c r="F170" s="460">
        <v>1.3</v>
      </c>
      <c r="G170" s="461">
        <f t="shared" si="29"/>
        <v>15293.2</v>
      </c>
      <c r="H170" s="468"/>
      <c r="I170" s="458">
        <v>40960</v>
      </c>
      <c r="J170" s="460">
        <v>1.3</v>
      </c>
      <c r="K170" s="464">
        <f t="shared" si="28"/>
        <v>15293.2</v>
      </c>
      <c r="L170" s="454">
        <f>SUM(G170-K170)</f>
        <v>0</v>
      </c>
      <c r="M170" s="496">
        <v>1.0754699999999999</v>
      </c>
      <c r="N170" s="455">
        <f t="shared" si="27"/>
        <v>0</v>
      </c>
      <c r="O170" s="113"/>
      <c r="P170" s="120"/>
    </row>
    <row r="171" spans="1:16" s="8" customFormat="1" ht="15" customHeight="1">
      <c r="A171" s="498" t="s">
        <v>137</v>
      </c>
      <c r="B171" s="498" t="s">
        <v>203</v>
      </c>
      <c r="C171" s="498" t="s">
        <v>53</v>
      </c>
      <c r="D171" s="497">
        <v>40961</v>
      </c>
      <c r="E171" s="499">
        <v>5000</v>
      </c>
      <c r="F171" s="500">
        <v>2.5</v>
      </c>
      <c r="G171" s="450">
        <f t="shared" si="29"/>
        <v>12500</v>
      </c>
      <c r="H171" s="504"/>
      <c r="I171" s="497">
        <v>40963</v>
      </c>
      <c r="J171" s="500">
        <v>2.456</v>
      </c>
      <c r="K171" s="453">
        <f>SUM(E171*J171)</f>
        <v>12280</v>
      </c>
      <c r="L171" s="454">
        <f>SUM(G171-K171)</f>
        <v>220</v>
      </c>
      <c r="M171" s="495">
        <v>1.0715699999999999</v>
      </c>
      <c r="N171" s="455">
        <f t="shared" si="27"/>
        <v>235.74539999999999</v>
      </c>
      <c r="O171" s="114"/>
      <c r="P171" s="119"/>
    </row>
    <row r="172" spans="1:16" s="18" customFormat="1" ht="15" customHeight="1">
      <c r="A172" s="457" t="s">
        <v>235</v>
      </c>
      <c r="B172" s="457" t="s">
        <v>236</v>
      </c>
      <c r="C172" s="457" t="s">
        <v>78</v>
      </c>
      <c r="D172" s="458">
        <v>40871</v>
      </c>
      <c r="E172" s="459">
        <v>5000</v>
      </c>
      <c r="F172" s="460">
        <v>1.22</v>
      </c>
      <c r="G172" s="461">
        <f t="shared" si="29"/>
        <v>6100</v>
      </c>
      <c r="H172" s="468"/>
      <c r="I172" s="458">
        <v>40967</v>
      </c>
      <c r="J172" s="460">
        <v>1.24</v>
      </c>
      <c r="K172" s="464">
        <f t="shared" si="28"/>
        <v>6200</v>
      </c>
      <c r="L172" s="465">
        <f>SUM(G172-K172)</f>
        <v>-100</v>
      </c>
      <c r="M172" s="496">
        <v>1.07572</v>
      </c>
      <c r="N172" s="467">
        <f t="shared" si="27"/>
        <v>-107.572</v>
      </c>
      <c r="O172" s="113"/>
      <c r="P172" s="120"/>
    </row>
    <row r="173" spans="1:16" s="8" customFormat="1" ht="15" customHeight="1">
      <c r="A173" s="498" t="s">
        <v>396</v>
      </c>
      <c r="B173" s="498" t="s">
        <v>397</v>
      </c>
      <c r="C173" s="498" t="s">
        <v>53</v>
      </c>
      <c r="D173" s="497">
        <v>40967</v>
      </c>
      <c r="E173" s="499">
        <v>2083</v>
      </c>
      <c r="F173" s="500">
        <v>13.22</v>
      </c>
      <c r="G173" s="450">
        <f t="shared" si="29"/>
        <v>27537.260000000002</v>
      </c>
      <c r="H173" s="504"/>
      <c r="I173" s="497">
        <v>40976</v>
      </c>
      <c r="J173" s="500">
        <v>12.5</v>
      </c>
      <c r="K173" s="453">
        <f t="shared" ref="K173:K180" si="30">SUM(E173*J173)</f>
        <v>26037.5</v>
      </c>
      <c r="L173" s="454">
        <f t="shared" ref="L173:L178" si="31">SUM(K173-G173)</f>
        <v>-1499.760000000002</v>
      </c>
      <c r="M173" s="495">
        <v>1.05809</v>
      </c>
      <c r="N173" s="455">
        <f t="shared" si="27"/>
        <v>-1586.8810584000021</v>
      </c>
      <c r="O173" s="114"/>
      <c r="P173" s="119"/>
    </row>
    <row r="174" spans="1:16" s="8" customFormat="1" ht="15" customHeight="1">
      <c r="A174" s="498" t="s">
        <v>363</v>
      </c>
      <c r="B174" s="498" t="s">
        <v>364</v>
      </c>
      <c r="C174" s="498" t="s">
        <v>53</v>
      </c>
      <c r="D174" s="497">
        <v>40855</v>
      </c>
      <c r="E174" s="499">
        <v>14285</v>
      </c>
      <c r="F174" s="500">
        <v>1.7150000000000001</v>
      </c>
      <c r="G174" s="450">
        <f>SUM(E174*F174)</f>
        <v>24498.775000000001</v>
      </c>
      <c r="H174" s="504"/>
      <c r="I174" s="497">
        <v>41001</v>
      </c>
      <c r="J174" s="500">
        <v>1.93</v>
      </c>
      <c r="K174" s="453">
        <f>SUM(E174*J174)</f>
        <v>27570.05</v>
      </c>
      <c r="L174" s="454">
        <f>SUM(K174-G174)</f>
        <v>3071.2749999999978</v>
      </c>
      <c r="M174" s="495">
        <v>1.0446500000000001</v>
      </c>
      <c r="N174" s="455">
        <f>SUM(L174*M174)</f>
        <v>3208.407428749998</v>
      </c>
      <c r="O174" s="114"/>
      <c r="P174" s="119"/>
    </row>
    <row r="175" spans="1:16" s="8" customFormat="1" ht="15" customHeight="1">
      <c r="A175" s="498" t="s">
        <v>144</v>
      </c>
      <c r="B175" s="498" t="s">
        <v>310</v>
      </c>
      <c r="C175" s="498" t="s">
        <v>53</v>
      </c>
      <c r="D175" s="497">
        <v>40945</v>
      </c>
      <c r="E175" s="499">
        <v>2360</v>
      </c>
      <c r="F175" s="499">
        <v>5.25</v>
      </c>
      <c r="G175" s="450">
        <f>SUM(E175*F175)</f>
        <v>12390</v>
      </c>
      <c r="H175" s="504"/>
      <c r="I175" s="497">
        <v>41009</v>
      </c>
      <c r="J175" s="500">
        <v>5.6219999999999999</v>
      </c>
      <c r="K175" s="453">
        <f>SUM(E175*J175)</f>
        <v>13267.92</v>
      </c>
      <c r="L175" s="454">
        <f>SUM(K175-G175)</f>
        <v>877.92000000000007</v>
      </c>
      <c r="M175" s="495">
        <v>1.0311600000000001</v>
      </c>
      <c r="N175" s="455">
        <f>SUM(L175*M175)</f>
        <v>905.27598720000015</v>
      </c>
      <c r="O175" s="114"/>
      <c r="P175" s="119"/>
    </row>
    <row r="176" spans="1:16" s="8" customFormat="1" ht="15" customHeight="1">
      <c r="A176" s="498" t="s">
        <v>399</v>
      </c>
      <c r="B176" s="498" t="s">
        <v>400</v>
      </c>
      <c r="C176" s="498" t="s">
        <v>53</v>
      </c>
      <c r="D176" s="497">
        <v>40945</v>
      </c>
      <c r="E176" s="499">
        <v>5357</v>
      </c>
      <c r="F176" s="499">
        <v>8.1199999999999992</v>
      </c>
      <c r="G176" s="450">
        <f>SUM(E176*F176)</f>
        <v>43498.84</v>
      </c>
      <c r="H176" s="504"/>
      <c r="I176" s="497">
        <v>41009</v>
      </c>
      <c r="J176" s="500">
        <v>7.84</v>
      </c>
      <c r="K176" s="453">
        <f>SUM(E176*J176)</f>
        <v>41998.879999999997</v>
      </c>
      <c r="L176" s="454">
        <f>SUM(K176-G176)</f>
        <v>-1499.9599999999991</v>
      </c>
      <c r="M176" s="495">
        <v>1.0311600000000001</v>
      </c>
      <c r="N176" s="455">
        <f>SUM(L176*M176)</f>
        <v>-1546.6987535999992</v>
      </c>
      <c r="O176" s="114"/>
      <c r="P176" s="119"/>
    </row>
    <row r="177" spans="1:16" s="8" customFormat="1" ht="15" customHeight="1">
      <c r="A177" s="498" t="s">
        <v>398</v>
      </c>
      <c r="B177" s="498" t="s">
        <v>274</v>
      </c>
      <c r="C177" s="498" t="s">
        <v>53</v>
      </c>
      <c r="D177" s="497">
        <v>40855</v>
      </c>
      <c r="E177" s="499">
        <v>6493</v>
      </c>
      <c r="F177" s="500">
        <v>1.8939999999999999</v>
      </c>
      <c r="G177" s="450">
        <f t="shared" si="29"/>
        <v>12297.742</v>
      </c>
      <c r="H177" s="504"/>
      <c r="I177" s="497">
        <v>41010</v>
      </c>
      <c r="J177" s="500">
        <v>1.74</v>
      </c>
      <c r="K177" s="453">
        <f t="shared" si="30"/>
        <v>11297.82</v>
      </c>
      <c r="L177" s="454">
        <f t="shared" si="31"/>
        <v>-999.92200000000048</v>
      </c>
      <c r="M177" s="495">
        <v>1.0247299999999999</v>
      </c>
      <c r="N177" s="455">
        <f t="shared" si="27"/>
        <v>-1024.6500710600003</v>
      </c>
      <c r="O177" s="114"/>
      <c r="P177" s="119"/>
    </row>
    <row r="178" spans="1:16" s="8" customFormat="1" ht="15" customHeight="1">
      <c r="A178" s="498" t="s">
        <v>401</v>
      </c>
      <c r="B178" s="498" t="s">
        <v>402</v>
      </c>
      <c r="C178" s="498" t="s">
        <v>53</v>
      </c>
      <c r="D178" s="497">
        <v>40855</v>
      </c>
      <c r="E178" s="499">
        <v>575</v>
      </c>
      <c r="F178" s="500">
        <v>28.49</v>
      </c>
      <c r="G178" s="450">
        <f t="shared" si="29"/>
        <v>16381.75</v>
      </c>
      <c r="H178" s="504"/>
      <c r="I178" s="497">
        <v>41036</v>
      </c>
      <c r="J178" s="500">
        <v>27.94</v>
      </c>
      <c r="K178" s="453">
        <f t="shared" si="30"/>
        <v>16065.5</v>
      </c>
      <c r="L178" s="454">
        <f t="shared" si="31"/>
        <v>-316.25</v>
      </c>
      <c r="M178" s="495">
        <v>1.0152000000000001</v>
      </c>
      <c r="N178" s="455">
        <f t="shared" si="27"/>
        <v>-321.05700000000002</v>
      </c>
      <c r="O178" s="114"/>
      <c r="P178" s="119"/>
    </row>
    <row r="179" spans="1:16" s="18" customFormat="1" ht="15" customHeight="1">
      <c r="A179" s="457" t="s">
        <v>250</v>
      </c>
      <c r="B179" s="457" t="s">
        <v>251</v>
      </c>
      <c r="C179" s="457" t="s">
        <v>78</v>
      </c>
      <c r="D179" s="458">
        <v>41029</v>
      </c>
      <c r="E179" s="459">
        <v>3750</v>
      </c>
      <c r="F179" s="460">
        <v>14.13</v>
      </c>
      <c r="G179" s="461">
        <f t="shared" si="29"/>
        <v>52987.5</v>
      </c>
      <c r="H179" s="468"/>
      <c r="I179" s="458">
        <v>41036</v>
      </c>
      <c r="J179" s="460">
        <v>13.73</v>
      </c>
      <c r="K179" s="464">
        <f t="shared" si="30"/>
        <v>51487.5</v>
      </c>
      <c r="L179" s="454">
        <f>SUM(G179-K179)</f>
        <v>1500</v>
      </c>
      <c r="M179" s="496">
        <v>1.0152000000000001</v>
      </c>
      <c r="N179" s="455">
        <f t="shared" si="27"/>
        <v>1522.8000000000002</v>
      </c>
      <c r="O179" s="113"/>
      <c r="P179" s="120"/>
    </row>
    <row r="180" spans="1:16" s="18" customFormat="1" ht="15" customHeight="1">
      <c r="A180" s="457" t="s">
        <v>403</v>
      </c>
      <c r="B180" s="457" t="s">
        <v>404</v>
      </c>
      <c r="C180" s="457" t="s">
        <v>78</v>
      </c>
      <c r="D180" s="458">
        <v>41018</v>
      </c>
      <c r="E180" s="459">
        <v>55000</v>
      </c>
      <c r="F180" s="460">
        <v>0.28699999999999998</v>
      </c>
      <c r="G180" s="461">
        <f t="shared" si="29"/>
        <v>15784.999999999998</v>
      </c>
      <c r="H180" s="468"/>
      <c r="I180" s="458">
        <v>41040</v>
      </c>
      <c r="J180" s="460">
        <v>0.27800000000000002</v>
      </c>
      <c r="K180" s="464">
        <f t="shared" si="30"/>
        <v>15290.000000000002</v>
      </c>
      <c r="L180" s="454">
        <f>SUM(G180-K180)</f>
        <v>494.99999999999636</v>
      </c>
      <c r="M180" s="496">
        <v>1.00796</v>
      </c>
      <c r="N180" s="455">
        <f t="shared" si="27"/>
        <v>498.94019999999631</v>
      </c>
      <c r="O180" s="113"/>
      <c r="P180" s="120"/>
    </row>
    <row r="181" spans="1:16" s="362" customFormat="1" ht="15" customHeight="1">
      <c r="A181" s="14" t="s">
        <v>405</v>
      </c>
      <c r="B181" s="14" t="s">
        <v>406</v>
      </c>
      <c r="C181" s="14" t="s">
        <v>53</v>
      </c>
      <c r="D181" s="522">
        <v>41040</v>
      </c>
      <c r="E181" s="425">
        <v>833</v>
      </c>
      <c r="F181" s="523">
        <v>12.692</v>
      </c>
      <c r="G181" s="450">
        <f t="shared" si="29"/>
        <v>10572.436</v>
      </c>
      <c r="H181" s="504"/>
      <c r="I181" s="505">
        <v>41046</v>
      </c>
      <c r="J181" s="523">
        <v>12.59</v>
      </c>
      <c r="K181" s="453">
        <f t="shared" ref="K181:K187" si="32">SUM(E181*J181)</f>
        <v>10487.47</v>
      </c>
      <c r="L181" s="454">
        <f>SUM(K181-G181)</f>
        <v>-84.966000000000349</v>
      </c>
      <c r="M181" s="495">
        <v>1.0553999999999999</v>
      </c>
      <c r="N181" s="455">
        <f t="shared" si="27"/>
        <v>-89.673116400000353</v>
      </c>
      <c r="O181" s="114"/>
      <c r="P181" s="119"/>
    </row>
    <row r="182" spans="1:16" s="8" customFormat="1" ht="15" customHeight="1">
      <c r="A182" s="524" t="s">
        <v>407</v>
      </c>
      <c r="B182" s="524" t="s">
        <v>408</v>
      </c>
      <c r="C182" s="524" t="s">
        <v>53</v>
      </c>
      <c r="D182" s="525">
        <v>40855</v>
      </c>
      <c r="E182" s="526">
        <v>15625</v>
      </c>
      <c r="F182" s="527">
        <v>1.752</v>
      </c>
      <c r="G182" s="528">
        <f t="shared" si="29"/>
        <v>27375</v>
      </c>
      <c r="H182" s="529"/>
      <c r="I182" s="527"/>
      <c r="J182" s="527">
        <v>1.8979999999999999</v>
      </c>
      <c r="K182" s="530">
        <f t="shared" si="32"/>
        <v>29656.25</v>
      </c>
      <c r="L182" s="520">
        <f>SUM(K182-G182)</f>
        <v>2281.25</v>
      </c>
      <c r="M182" s="511">
        <v>1</v>
      </c>
      <c r="N182" s="521">
        <f t="shared" si="27"/>
        <v>2281.25</v>
      </c>
      <c r="O182" s="114"/>
      <c r="P182" s="119"/>
    </row>
    <row r="183" spans="1:16" s="18" customFormat="1" ht="15" customHeight="1">
      <c r="A183" s="457" t="s">
        <v>409</v>
      </c>
      <c r="B183" s="457" t="s">
        <v>410</v>
      </c>
      <c r="C183" s="457" t="s">
        <v>78</v>
      </c>
      <c r="D183" s="458">
        <v>41064</v>
      </c>
      <c r="E183" s="459">
        <v>7142</v>
      </c>
      <c r="F183" s="460">
        <v>2.7280000000000002</v>
      </c>
      <c r="G183" s="461">
        <f t="shared" si="29"/>
        <v>19483.376</v>
      </c>
      <c r="H183" s="468"/>
      <c r="I183" s="505">
        <v>41066</v>
      </c>
      <c r="J183" s="460">
        <v>2.8719999999999999</v>
      </c>
      <c r="K183" s="464">
        <f t="shared" si="32"/>
        <v>20511.824000000001</v>
      </c>
      <c r="L183" s="465">
        <f>SUM(G183-K183)</f>
        <v>-1028.4480000000003</v>
      </c>
      <c r="M183" s="496">
        <v>0.97399999999999998</v>
      </c>
      <c r="N183" s="467">
        <f t="shared" si="27"/>
        <v>-1001.7083520000003</v>
      </c>
      <c r="O183" s="113"/>
      <c r="P183" s="120"/>
    </row>
    <row r="184" spans="1:16" s="18" customFormat="1" ht="15" customHeight="1">
      <c r="A184" s="457" t="s">
        <v>235</v>
      </c>
      <c r="B184" s="457" t="s">
        <v>236</v>
      </c>
      <c r="C184" s="457" t="s">
        <v>78</v>
      </c>
      <c r="D184" s="458">
        <v>41036</v>
      </c>
      <c r="E184" s="459">
        <v>28800</v>
      </c>
      <c r="F184" s="460">
        <v>1.22</v>
      </c>
      <c r="G184" s="461">
        <f t="shared" si="29"/>
        <v>35136</v>
      </c>
      <c r="H184" s="468"/>
      <c r="I184" s="458">
        <v>41067</v>
      </c>
      <c r="J184" s="460">
        <v>1.0169999999999999</v>
      </c>
      <c r="K184" s="464">
        <f t="shared" si="32"/>
        <v>29289.599999999999</v>
      </c>
      <c r="L184" s="454">
        <f>SUM(G184-K184)</f>
        <v>5846.4000000000015</v>
      </c>
      <c r="M184" s="496">
        <v>0.99246000000000001</v>
      </c>
      <c r="N184" s="455">
        <f t="shared" si="27"/>
        <v>5802.3181440000017</v>
      </c>
      <c r="O184" s="113"/>
      <c r="P184" s="120"/>
    </row>
    <row r="185" spans="1:16" s="18" customFormat="1" ht="15" customHeight="1">
      <c r="A185" s="457" t="s">
        <v>411</v>
      </c>
      <c r="B185" s="457" t="s">
        <v>412</v>
      </c>
      <c r="C185" s="457" t="s">
        <v>78</v>
      </c>
      <c r="D185" s="458">
        <v>41044</v>
      </c>
      <c r="E185" s="459">
        <v>4573</v>
      </c>
      <c r="F185" s="460">
        <v>8.5359999999999996</v>
      </c>
      <c r="G185" s="461">
        <f t="shared" si="29"/>
        <v>39035.127999999997</v>
      </c>
      <c r="H185" s="468"/>
      <c r="I185" s="458">
        <v>41067</v>
      </c>
      <c r="J185" s="460">
        <v>8.8640000000000008</v>
      </c>
      <c r="K185" s="464">
        <f t="shared" si="32"/>
        <v>40535.072</v>
      </c>
      <c r="L185" s="465">
        <f>SUM(G185-K185)</f>
        <v>-1499.9440000000031</v>
      </c>
      <c r="M185" s="496">
        <v>0.99246000000000001</v>
      </c>
      <c r="N185" s="467">
        <f t="shared" si="27"/>
        <v>-1488.6344222400032</v>
      </c>
      <c r="O185" s="113"/>
      <c r="P185" s="120"/>
    </row>
    <row r="186" spans="1:16" s="18" customFormat="1" ht="15" customHeight="1">
      <c r="A186" s="457" t="s">
        <v>285</v>
      </c>
      <c r="B186" s="457" t="s">
        <v>286</v>
      </c>
      <c r="C186" s="457" t="s">
        <v>78</v>
      </c>
      <c r="D186" s="458">
        <v>41064</v>
      </c>
      <c r="E186" s="459">
        <v>2341</v>
      </c>
      <c r="F186" s="460">
        <v>11.31</v>
      </c>
      <c r="G186" s="461">
        <f t="shared" si="29"/>
        <v>26476.710000000003</v>
      </c>
      <c r="H186" s="468"/>
      <c r="I186" s="458">
        <v>41067</v>
      </c>
      <c r="J186" s="460">
        <v>11.95</v>
      </c>
      <c r="K186" s="464">
        <f t="shared" si="32"/>
        <v>27974.949999999997</v>
      </c>
      <c r="L186" s="465">
        <f>SUM(G186-K186)</f>
        <v>-1498.2399999999943</v>
      </c>
      <c r="M186" s="496">
        <v>0.99246000000000001</v>
      </c>
      <c r="N186" s="467">
        <f t="shared" si="27"/>
        <v>-1486.9432703999944</v>
      </c>
      <c r="O186" s="113"/>
      <c r="P186" s="120"/>
    </row>
    <row r="187" spans="1:16" s="18" customFormat="1" ht="15" customHeight="1">
      <c r="A187" s="457" t="s">
        <v>315</v>
      </c>
      <c r="B187" s="457" t="s">
        <v>316</v>
      </c>
      <c r="C187" s="457" t="s">
        <v>78</v>
      </c>
      <c r="D187" s="458">
        <v>41040</v>
      </c>
      <c r="E187" s="459">
        <v>50000</v>
      </c>
      <c r="F187" s="460">
        <v>0.67</v>
      </c>
      <c r="G187" s="461">
        <f t="shared" si="29"/>
        <v>33500</v>
      </c>
      <c r="H187" s="468"/>
      <c r="I187" s="458">
        <v>41078</v>
      </c>
      <c r="J187" s="460">
        <v>0.65700000000000003</v>
      </c>
      <c r="K187" s="464">
        <f t="shared" si="32"/>
        <v>32850</v>
      </c>
      <c r="L187" s="454">
        <f>SUM(G187-K187)</f>
        <v>650</v>
      </c>
      <c r="M187" s="496">
        <v>1.0113099999999999</v>
      </c>
      <c r="N187" s="455">
        <f t="shared" si="27"/>
        <v>657.35149999999999</v>
      </c>
      <c r="O187" s="113"/>
      <c r="P187" s="120"/>
    </row>
    <row r="188" spans="1:16" s="8" customFormat="1" ht="15" customHeight="1">
      <c r="A188" s="498" t="s">
        <v>350</v>
      </c>
      <c r="B188" s="498" t="s">
        <v>351</v>
      </c>
      <c r="C188" s="498" t="s">
        <v>53</v>
      </c>
      <c r="D188" s="497">
        <v>41080</v>
      </c>
      <c r="E188" s="499">
        <v>3588</v>
      </c>
      <c r="F188" s="500">
        <v>4.6779999999999999</v>
      </c>
      <c r="G188" s="450">
        <f t="shared" si="29"/>
        <v>16784.664000000001</v>
      </c>
      <c r="H188" s="504"/>
      <c r="I188" s="497">
        <v>41081</v>
      </c>
      <c r="J188" s="500">
        <v>4.2619999999999996</v>
      </c>
      <c r="K188" s="453">
        <f t="shared" ref="K188:K202" si="33">SUM(E188*J188)</f>
        <v>15292.055999999999</v>
      </c>
      <c r="L188" s="454">
        <f>SUM(K188-G188)</f>
        <v>-1492.608000000002</v>
      </c>
      <c r="M188" s="495">
        <v>1.0193000000000001</v>
      </c>
      <c r="N188" s="455">
        <f t="shared" si="27"/>
        <v>-1521.4153344000022</v>
      </c>
      <c r="O188" s="114"/>
      <c r="P188" s="119"/>
    </row>
    <row r="189" spans="1:16" s="8" customFormat="1" ht="15" customHeight="1">
      <c r="A189" s="498" t="s">
        <v>413</v>
      </c>
      <c r="B189" s="498" t="s">
        <v>414</v>
      </c>
      <c r="C189" s="498" t="s">
        <v>53</v>
      </c>
      <c r="D189" s="497">
        <v>40855</v>
      </c>
      <c r="E189" s="499">
        <v>12195</v>
      </c>
      <c r="F189" s="500">
        <v>2.0409999999999999</v>
      </c>
      <c r="G189" s="450">
        <f t="shared" si="29"/>
        <v>24889.994999999999</v>
      </c>
      <c r="H189" s="504"/>
      <c r="I189" s="497">
        <v>41087</v>
      </c>
      <c r="J189" s="500">
        <v>2.1949999999999998</v>
      </c>
      <c r="K189" s="453">
        <f t="shared" si="33"/>
        <v>26768.024999999998</v>
      </c>
      <c r="L189" s="454">
        <f>SUM(K189-G189)</f>
        <v>1878.0299999999988</v>
      </c>
      <c r="M189" s="495">
        <v>1.00624</v>
      </c>
      <c r="N189" s="455">
        <f t="shared" si="27"/>
        <v>1889.7489071999989</v>
      </c>
      <c r="O189" s="114"/>
      <c r="P189" s="119"/>
    </row>
    <row r="190" spans="1:16" s="18" customFormat="1" ht="15" customHeight="1">
      <c r="A190" s="457" t="s">
        <v>415</v>
      </c>
      <c r="B190" s="457" t="s">
        <v>416</v>
      </c>
      <c r="C190" s="457" t="s">
        <v>78</v>
      </c>
      <c r="D190" s="458">
        <v>41081</v>
      </c>
      <c r="E190" s="459">
        <v>10000</v>
      </c>
      <c r="F190" s="460">
        <v>1.675</v>
      </c>
      <c r="G190" s="461">
        <f t="shared" si="29"/>
        <v>16750</v>
      </c>
      <c r="H190" s="468"/>
      <c r="I190" s="458">
        <v>41088</v>
      </c>
      <c r="J190" s="460">
        <v>1.762</v>
      </c>
      <c r="K190" s="464">
        <f t="shared" si="33"/>
        <v>17620</v>
      </c>
      <c r="L190" s="465">
        <f t="shared" ref="L190:L202" si="34">SUM(G190-K190)</f>
        <v>-870</v>
      </c>
      <c r="M190" s="496">
        <v>1.00803</v>
      </c>
      <c r="N190" s="467">
        <f t="shared" si="27"/>
        <v>-876.98609999999996</v>
      </c>
      <c r="O190" s="113"/>
      <c r="P190" s="120"/>
    </row>
    <row r="191" spans="1:16" s="18" customFormat="1" ht="15" customHeight="1">
      <c r="A191" s="457" t="s">
        <v>417</v>
      </c>
      <c r="B191" s="457" t="s">
        <v>418</v>
      </c>
      <c r="C191" s="457" t="s">
        <v>78</v>
      </c>
      <c r="D191" s="458">
        <v>41085</v>
      </c>
      <c r="E191" s="459">
        <v>15000</v>
      </c>
      <c r="F191" s="460">
        <v>0.55600000000000005</v>
      </c>
      <c r="G191" s="461">
        <f t="shared" si="29"/>
        <v>8340</v>
      </c>
      <c r="H191" s="468"/>
      <c r="I191" s="458">
        <v>41092</v>
      </c>
      <c r="J191" s="460">
        <v>0.60399999999999998</v>
      </c>
      <c r="K191" s="464">
        <f t="shared" si="33"/>
        <v>9060</v>
      </c>
      <c r="L191" s="465">
        <f t="shared" si="34"/>
        <v>-720</v>
      </c>
      <c r="M191" s="496">
        <v>1.0259</v>
      </c>
      <c r="N191" s="467">
        <f t="shared" si="27"/>
        <v>-738.64800000000002</v>
      </c>
      <c r="O191" s="113"/>
      <c r="P191" s="120"/>
    </row>
    <row r="192" spans="1:16" s="18" customFormat="1" ht="15" customHeight="1">
      <c r="A192" s="457" t="s">
        <v>139</v>
      </c>
      <c r="B192" s="457" t="s">
        <v>345</v>
      </c>
      <c r="C192" s="457" t="s">
        <v>78</v>
      </c>
      <c r="D192" s="458">
        <v>41045</v>
      </c>
      <c r="E192" s="459">
        <v>7075</v>
      </c>
      <c r="F192" s="460">
        <v>1.204</v>
      </c>
      <c r="G192" s="461">
        <f t="shared" si="29"/>
        <v>8518.2999999999993</v>
      </c>
      <c r="H192" s="468"/>
      <c r="I192" s="458">
        <v>41092</v>
      </c>
      <c r="J192" s="460">
        <v>1.3109999999999999</v>
      </c>
      <c r="K192" s="464">
        <f t="shared" si="33"/>
        <v>9275.3249999999989</v>
      </c>
      <c r="L192" s="465">
        <f t="shared" si="34"/>
        <v>-757.02499999999964</v>
      </c>
      <c r="M192" s="496">
        <v>1.0259</v>
      </c>
      <c r="N192" s="467">
        <f t="shared" si="27"/>
        <v>-776.63194749999968</v>
      </c>
      <c r="O192" s="113"/>
      <c r="P192" s="120"/>
    </row>
    <row r="193" spans="1:16" s="18" customFormat="1" ht="15" customHeight="1">
      <c r="A193" s="457" t="s">
        <v>367</v>
      </c>
      <c r="B193" s="457" t="s">
        <v>247</v>
      </c>
      <c r="C193" s="457" t="s">
        <v>78</v>
      </c>
      <c r="D193" s="458">
        <v>41016</v>
      </c>
      <c r="E193" s="531">
        <v>27777</v>
      </c>
      <c r="F193" s="460">
        <v>0.65300000000000002</v>
      </c>
      <c r="G193" s="461">
        <f t="shared" si="29"/>
        <v>18138.381000000001</v>
      </c>
      <c r="H193" s="468"/>
      <c r="I193" s="458">
        <v>41093</v>
      </c>
      <c r="J193" s="460">
        <v>0.51500000000000001</v>
      </c>
      <c r="K193" s="464">
        <f t="shared" si="33"/>
        <v>14305.155000000001</v>
      </c>
      <c r="L193" s="454">
        <f t="shared" si="34"/>
        <v>3833.2260000000006</v>
      </c>
      <c r="M193" s="496">
        <v>1.0247599999999999</v>
      </c>
      <c r="N193" s="455">
        <f t="shared" si="27"/>
        <v>3928.1366757600003</v>
      </c>
      <c r="O193" s="113"/>
      <c r="P193" s="120"/>
    </row>
    <row r="194" spans="1:16" s="18" customFormat="1" ht="15" customHeight="1">
      <c r="A194" s="457" t="s">
        <v>419</v>
      </c>
      <c r="B194" s="457" t="s">
        <v>243</v>
      </c>
      <c r="C194" s="457" t="s">
        <v>78</v>
      </c>
      <c r="D194" s="458">
        <v>41045</v>
      </c>
      <c r="E194" s="459">
        <v>843</v>
      </c>
      <c r="F194" s="460">
        <v>32.79</v>
      </c>
      <c r="G194" s="461">
        <f t="shared" si="29"/>
        <v>27641.969999999998</v>
      </c>
      <c r="H194" s="468"/>
      <c r="I194" s="458">
        <v>41094</v>
      </c>
      <c r="J194" s="460">
        <v>32.287999999999997</v>
      </c>
      <c r="K194" s="464">
        <f t="shared" si="33"/>
        <v>27218.783999999996</v>
      </c>
      <c r="L194" s="454">
        <f t="shared" si="34"/>
        <v>423.18600000000151</v>
      </c>
      <c r="M194" s="496">
        <v>1.0281100000000001</v>
      </c>
      <c r="N194" s="455">
        <f t="shared" si="27"/>
        <v>435.08175846000159</v>
      </c>
      <c r="O194" s="113"/>
      <c r="P194" s="120"/>
    </row>
    <row r="195" spans="1:16" s="18" customFormat="1" ht="15" customHeight="1">
      <c r="A195" s="457" t="s">
        <v>420</v>
      </c>
      <c r="B195" s="457" t="s">
        <v>421</v>
      </c>
      <c r="C195" s="457" t="s">
        <v>78</v>
      </c>
      <c r="D195" s="458">
        <v>41004</v>
      </c>
      <c r="E195" s="459">
        <v>17857</v>
      </c>
      <c r="F195" s="460">
        <v>1.0780000000000001</v>
      </c>
      <c r="G195" s="461">
        <f t="shared" si="29"/>
        <v>19249.846000000001</v>
      </c>
      <c r="H195" s="468"/>
      <c r="I195" s="458">
        <v>41094</v>
      </c>
      <c r="J195" s="460">
        <v>0.93600000000000005</v>
      </c>
      <c r="K195" s="464">
        <f t="shared" si="33"/>
        <v>16714.152000000002</v>
      </c>
      <c r="L195" s="454">
        <f t="shared" si="34"/>
        <v>2535.6939999999995</v>
      </c>
      <c r="M195" s="496">
        <v>1.0281100000000001</v>
      </c>
      <c r="N195" s="455">
        <f t="shared" si="27"/>
        <v>2606.9723583399996</v>
      </c>
      <c r="O195" s="113"/>
      <c r="P195" s="120"/>
    </row>
    <row r="196" spans="1:16" s="18" customFormat="1" ht="15" customHeight="1">
      <c r="A196" s="457" t="s">
        <v>329</v>
      </c>
      <c r="B196" s="457" t="s">
        <v>330</v>
      </c>
      <c r="C196" s="457" t="s">
        <v>78</v>
      </c>
      <c r="D196" s="458">
        <v>41065</v>
      </c>
      <c r="E196" s="459">
        <v>11111</v>
      </c>
      <c r="F196" s="460">
        <v>1.1599999999999999</v>
      </c>
      <c r="G196" s="461">
        <f t="shared" ref="G196:G229" si="35">SUM(E196*F196)</f>
        <v>12888.759999999998</v>
      </c>
      <c r="H196" s="468"/>
      <c r="I196" s="458">
        <v>41095</v>
      </c>
      <c r="J196" s="460">
        <v>1.1200000000000001</v>
      </c>
      <c r="K196" s="464">
        <f t="shared" si="33"/>
        <v>12444.320000000002</v>
      </c>
      <c r="L196" s="454">
        <f t="shared" si="34"/>
        <v>444.43999999999687</v>
      </c>
      <c r="M196" s="496">
        <v>1.0274300000000001</v>
      </c>
      <c r="N196" s="455">
        <f t="shared" si="27"/>
        <v>456.6309891999968</v>
      </c>
      <c r="O196" s="113"/>
      <c r="P196" s="120"/>
    </row>
    <row r="197" spans="1:16" s="18" customFormat="1" ht="15" customHeight="1">
      <c r="A197" s="457" t="s">
        <v>422</v>
      </c>
      <c r="B197" s="457" t="s">
        <v>423</v>
      </c>
      <c r="C197" s="457" t="s">
        <v>78</v>
      </c>
      <c r="D197" s="458">
        <v>41081</v>
      </c>
      <c r="E197" s="459">
        <v>4838</v>
      </c>
      <c r="F197" s="459">
        <v>7.3620000000000001</v>
      </c>
      <c r="G197" s="461">
        <f t="shared" si="35"/>
        <v>35617.356</v>
      </c>
      <c r="H197" s="468"/>
      <c r="I197" s="458">
        <v>41108</v>
      </c>
      <c r="J197" s="460">
        <v>7.6260000000000003</v>
      </c>
      <c r="K197" s="464">
        <f t="shared" si="33"/>
        <v>36894.588000000003</v>
      </c>
      <c r="L197" s="465">
        <f t="shared" si="34"/>
        <v>-1277.2320000000036</v>
      </c>
      <c r="M197" s="496">
        <v>1.0315099999999999</v>
      </c>
      <c r="N197" s="467">
        <f t="shared" si="27"/>
        <v>-1317.4775803200037</v>
      </c>
      <c r="O197" s="113"/>
      <c r="P197" s="120"/>
    </row>
    <row r="198" spans="1:16" s="18" customFormat="1" ht="15" customHeight="1">
      <c r="A198" s="457" t="s">
        <v>424</v>
      </c>
      <c r="B198" s="457" t="s">
        <v>425</v>
      </c>
      <c r="C198" s="457" t="s">
        <v>78</v>
      </c>
      <c r="D198" s="458">
        <v>41064</v>
      </c>
      <c r="E198" s="459">
        <v>14285</v>
      </c>
      <c r="F198" s="460">
        <v>0.38</v>
      </c>
      <c r="G198" s="461">
        <f t="shared" si="35"/>
        <v>5428.3</v>
      </c>
      <c r="H198" s="468"/>
      <c r="I198" s="458">
        <v>41109</v>
      </c>
      <c r="J198" s="460">
        <v>0.41699999999999998</v>
      </c>
      <c r="K198" s="464">
        <f t="shared" si="33"/>
        <v>5956.8449999999993</v>
      </c>
      <c r="L198" s="465">
        <f t="shared" si="34"/>
        <v>-528.54499999999916</v>
      </c>
      <c r="M198" s="496">
        <v>1.0363100000000001</v>
      </c>
      <c r="N198" s="467">
        <f t="shared" si="27"/>
        <v>-547.73646894999922</v>
      </c>
      <c r="O198" s="113"/>
      <c r="P198" s="120"/>
    </row>
    <row r="199" spans="1:16" s="18" customFormat="1" ht="15" customHeight="1">
      <c r="A199" s="457" t="s">
        <v>307</v>
      </c>
      <c r="B199" s="457" t="s">
        <v>308</v>
      </c>
      <c r="C199" s="457" t="s">
        <v>78</v>
      </c>
      <c r="D199" s="458">
        <v>41045</v>
      </c>
      <c r="E199" s="459">
        <v>1271</v>
      </c>
      <c r="F199" s="460">
        <v>18.350000000000001</v>
      </c>
      <c r="G199" s="461">
        <f t="shared" si="35"/>
        <v>23322.850000000002</v>
      </c>
      <c r="H199" s="468"/>
      <c r="I199" s="458">
        <v>41120</v>
      </c>
      <c r="J199" s="460">
        <v>17.03</v>
      </c>
      <c r="K199" s="464">
        <f t="shared" si="33"/>
        <v>21645.13</v>
      </c>
      <c r="L199" s="454">
        <f t="shared" si="34"/>
        <v>1677.7200000000012</v>
      </c>
      <c r="M199" s="496">
        <v>1.04731</v>
      </c>
      <c r="N199" s="455">
        <f t="shared" si="27"/>
        <v>1757.0929332000012</v>
      </c>
      <c r="O199" s="113"/>
      <c r="P199" s="120"/>
    </row>
    <row r="200" spans="1:16" s="18" customFormat="1" ht="15" customHeight="1">
      <c r="A200" s="457" t="s">
        <v>426</v>
      </c>
      <c r="B200" s="457" t="s">
        <v>427</v>
      </c>
      <c r="C200" s="457" t="s">
        <v>78</v>
      </c>
      <c r="D200" s="458">
        <v>41081</v>
      </c>
      <c r="E200" s="459">
        <v>1562</v>
      </c>
      <c r="F200" s="460">
        <v>11.34</v>
      </c>
      <c r="G200" s="461">
        <f t="shared" si="35"/>
        <v>17713.079999999998</v>
      </c>
      <c r="H200" s="468"/>
      <c r="I200" s="458">
        <v>41130</v>
      </c>
      <c r="J200" s="460">
        <v>9.75</v>
      </c>
      <c r="K200" s="464">
        <f t="shared" si="33"/>
        <v>15229.5</v>
      </c>
      <c r="L200" s="454">
        <f t="shared" si="34"/>
        <v>2483.5799999999981</v>
      </c>
      <c r="M200" s="496">
        <v>1.0569599999999999</v>
      </c>
      <c r="N200" s="455">
        <f t="shared" si="27"/>
        <v>2625.0447167999978</v>
      </c>
      <c r="O200" s="113"/>
      <c r="P200" s="120"/>
    </row>
    <row r="201" spans="1:16" s="18" customFormat="1" ht="15" customHeight="1">
      <c r="A201" s="457" t="s">
        <v>401</v>
      </c>
      <c r="B201" s="457" t="s">
        <v>402</v>
      </c>
      <c r="C201" s="457" t="s">
        <v>78</v>
      </c>
      <c r="D201" s="458">
        <v>41109</v>
      </c>
      <c r="E201" s="459">
        <v>937.5</v>
      </c>
      <c r="F201" s="460">
        <v>24.35</v>
      </c>
      <c r="G201" s="461">
        <f t="shared" si="35"/>
        <v>22828.125</v>
      </c>
      <c r="H201" s="468"/>
      <c r="I201" s="458">
        <v>41130</v>
      </c>
      <c r="J201" s="460">
        <v>25.65</v>
      </c>
      <c r="K201" s="464">
        <f t="shared" si="33"/>
        <v>24046.875</v>
      </c>
      <c r="L201" s="465">
        <f t="shared" si="34"/>
        <v>-1218.75</v>
      </c>
      <c r="M201" s="496">
        <v>1.0569599999999999</v>
      </c>
      <c r="N201" s="467">
        <f t="shared" si="27"/>
        <v>-1288.1699999999998</v>
      </c>
      <c r="O201" s="113"/>
      <c r="P201" s="120"/>
    </row>
    <row r="202" spans="1:16" s="18" customFormat="1" ht="15" customHeight="1">
      <c r="A202" s="457" t="s">
        <v>228</v>
      </c>
      <c r="B202" s="457" t="s">
        <v>229</v>
      </c>
      <c r="C202" s="457" t="s">
        <v>78</v>
      </c>
      <c r="D202" s="458">
        <v>41127</v>
      </c>
      <c r="E202" s="459">
        <v>3521</v>
      </c>
      <c r="F202" s="460">
        <v>3.8580000000000001</v>
      </c>
      <c r="G202" s="461">
        <f t="shared" si="35"/>
        <v>13584.018</v>
      </c>
      <c r="H202" s="468"/>
      <c r="I202" s="458">
        <v>41130</v>
      </c>
      <c r="J202" s="460">
        <v>4.1420000000000003</v>
      </c>
      <c r="K202" s="464">
        <f t="shared" si="33"/>
        <v>14583.982000000002</v>
      </c>
      <c r="L202" s="465">
        <f t="shared" si="34"/>
        <v>-999.96400000000176</v>
      </c>
      <c r="M202" s="496">
        <v>1.0569599999999999</v>
      </c>
      <c r="N202" s="467">
        <f t="shared" si="27"/>
        <v>-1056.9219494400018</v>
      </c>
      <c r="O202" s="113"/>
      <c r="P202" s="120"/>
    </row>
    <row r="203" spans="1:16" s="8" customFormat="1" ht="15" customHeight="1">
      <c r="A203" s="498" t="s">
        <v>428</v>
      </c>
      <c r="B203" s="498" t="s">
        <v>429</v>
      </c>
      <c r="C203" s="498" t="s">
        <v>53</v>
      </c>
      <c r="D203" s="497">
        <v>41032</v>
      </c>
      <c r="E203" s="499">
        <v>2830</v>
      </c>
      <c r="F203" s="500">
        <v>20.47</v>
      </c>
      <c r="G203" s="450">
        <f t="shared" si="35"/>
        <v>57930.1</v>
      </c>
      <c r="H203" s="504"/>
      <c r="I203" s="497">
        <v>41134</v>
      </c>
      <c r="J203" s="500">
        <v>22.72</v>
      </c>
      <c r="K203" s="453">
        <f>SUM(E203*J203)</f>
        <v>64297.599999999999</v>
      </c>
      <c r="L203" s="454">
        <f>SUM(K203-G203)</f>
        <v>6367.5</v>
      </c>
      <c r="M203" s="495">
        <v>1.05532</v>
      </c>
      <c r="N203" s="455">
        <f t="shared" si="27"/>
        <v>6719.7501000000002</v>
      </c>
      <c r="O203" s="114"/>
      <c r="P203" s="119"/>
    </row>
    <row r="204" spans="1:16" s="8" customFormat="1" ht="15" customHeight="1">
      <c r="A204" s="524" t="s">
        <v>430</v>
      </c>
      <c r="B204" s="524" t="s">
        <v>431</v>
      </c>
      <c r="C204" s="524" t="s">
        <v>53</v>
      </c>
      <c r="D204" s="525">
        <v>41113</v>
      </c>
      <c r="E204" s="526">
        <v>13000</v>
      </c>
      <c r="F204" s="527">
        <v>2.64</v>
      </c>
      <c r="G204" s="528">
        <f t="shared" si="35"/>
        <v>34320</v>
      </c>
      <c r="H204" s="529"/>
      <c r="I204" s="527"/>
      <c r="J204" s="527">
        <v>2.65</v>
      </c>
      <c r="K204" s="530">
        <f>SUM(E204*J204)</f>
        <v>34450</v>
      </c>
      <c r="L204" s="520">
        <f>SUM(K204-G204)</f>
        <v>130</v>
      </c>
      <c r="M204" s="511">
        <v>1</v>
      </c>
      <c r="N204" s="521">
        <f t="shared" si="27"/>
        <v>130</v>
      </c>
      <c r="O204" s="114"/>
      <c r="P204" s="119"/>
    </row>
    <row r="205" spans="1:16" s="8" customFormat="1" ht="15" customHeight="1">
      <c r="A205" s="498" t="s">
        <v>432</v>
      </c>
      <c r="B205" s="498" t="s">
        <v>433</v>
      </c>
      <c r="C205" s="498" t="s">
        <v>53</v>
      </c>
      <c r="D205" s="497">
        <v>41115</v>
      </c>
      <c r="E205" s="499">
        <v>949</v>
      </c>
      <c r="F205" s="500">
        <v>54.79</v>
      </c>
      <c r="G205" s="450">
        <f t="shared" si="35"/>
        <v>51995.71</v>
      </c>
      <c r="H205" s="504"/>
      <c r="I205" s="497">
        <v>41141</v>
      </c>
      <c r="J205" s="500">
        <v>54.73</v>
      </c>
      <c r="K205" s="453">
        <f>SUM(E205*J205)</f>
        <v>51938.77</v>
      </c>
      <c r="L205" s="454">
        <f>SUM(K205-G205)</f>
        <v>-56.940000000002328</v>
      </c>
      <c r="M205" s="495">
        <v>1.04314</v>
      </c>
      <c r="N205" s="455">
        <f t="shared" si="27"/>
        <v>-59.396391600002424</v>
      </c>
      <c r="O205" s="114"/>
      <c r="P205" s="119"/>
    </row>
    <row r="206" spans="1:16" s="18" customFormat="1" ht="15" customHeight="1">
      <c r="A206" s="457" t="s">
        <v>434</v>
      </c>
      <c r="B206" s="457" t="s">
        <v>435</v>
      </c>
      <c r="C206" s="457" t="s">
        <v>78</v>
      </c>
      <c r="D206" s="458">
        <v>41043</v>
      </c>
      <c r="E206" s="459">
        <v>18292</v>
      </c>
      <c r="F206" s="460">
        <v>0.89</v>
      </c>
      <c r="G206" s="461">
        <f t="shared" si="35"/>
        <v>16279.880000000001</v>
      </c>
      <c r="H206" s="468"/>
      <c r="I206" s="458">
        <v>41144</v>
      </c>
      <c r="J206" s="460">
        <v>0.60499999999999998</v>
      </c>
      <c r="K206" s="464">
        <f>SUM(E206*J206)</f>
        <v>11066.66</v>
      </c>
      <c r="L206" s="454">
        <f>SUM(G206-K206)</f>
        <v>5213.2200000000012</v>
      </c>
      <c r="M206" s="496">
        <v>1.0504599999999999</v>
      </c>
      <c r="N206" s="455">
        <f t="shared" si="27"/>
        <v>5476.2790812000012</v>
      </c>
      <c r="O206" s="113"/>
      <c r="P206" s="120"/>
    </row>
    <row r="207" spans="1:16" s="8" customFormat="1" ht="15" customHeight="1">
      <c r="A207" s="498" t="s">
        <v>239</v>
      </c>
      <c r="B207" s="498" t="s">
        <v>240</v>
      </c>
      <c r="C207" s="498" t="s">
        <v>53</v>
      </c>
      <c r="D207" s="497">
        <v>41135</v>
      </c>
      <c r="E207" s="499">
        <v>10000</v>
      </c>
      <c r="F207" s="500">
        <v>1.385</v>
      </c>
      <c r="G207" s="450">
        <f t="shared" si="35"/>
        <v>13850</v>
      </c>
      <c r="H207" s="504"/>
      <c r="I207" s="497">
        <v>41145</v>
      </c>
      <c r="J207" s="500">
        <v>1.2849999999999999</v>
      </c>
      <c r="K207" s="453">
        <f t="shared" ref="K207:K212" si="36">SUM(E207*J207)</f>
        <v>12850</v>
      </c>
      <c r="L207" s="454">
        <f>SUM(K207-G207)</f>
        <v>-1000</v>
      </c>
      <c r="M207" s="495">
        <v>1.04393</v>
      </c>
      <c r="N207" s="455">
        <f t="shared" si="27"/>
        <v>-1043.93</v>
      </c>
      <c r="O207" s="114"/>
      <c r="P207" s="119"/>
    </row>
    <row r="208" spans="1:16" s="8" customFormat="1" ht="15" customHeight="1">
      <c r="A208" s="498" t="s">
        <v>436</v>
      </c>
      <c r="B208" s="498" t="s">
        <v>437</v>
      </c>
      <c r="C208" s="498" t="s">
        <v>53</v>
      </c>
      <c r="D208" s="497">
        <v>41161</v>
      </c>
      <c r="E208" s="499">
        <v>8333</v>
      </c>
      <c r="F208" s="500">
        <v>1.94</v>
      </c>
      <c r="G208" s="450">
        <f t="shared" si="35"/>
        <v>16166.02</v>
      </c>
      <c r="H208" s="504"/>
      <c r="I208" s="497">
        <v>41155</v>
      </c>
      <c r="J208" s="500">
        <v>1.82</v>
      </c>
      <c r="K208" s="453">
        <f t="shared" si="36"/>
        <v>15166.060000000001</v>
      </c>
      <c r="L208" s="454">
        <f>SUM(K208-G208)</f>
        <v>-999.95999999999913</v>
      </c>
      <c r="M208" s="495">
        <v>1.0284899999999999</v>
      </c>
      <c r="N208" s="455">
        <f t="shared" si="27"/>
        <v>-1028.4488603999989</v>
      </c>
      <c r="O208" s="114"/>
      <c r="P208" s="119"/>
    </row>
    <row r="209" spans="1:16" s="8" customFormat="1" ht="15" customHeight="1">
      <c r="A209" s="498" t="s">
        <v>438</v>
      </c>
      <c r="B209" s="498" t="s">
        <v>439</v>
      </c>
      <c r="C209" s="498" t="s">
        <v>53</v>
      </c>
      <c r="D209" s="497">
        <v>41151</v>
      </c>
      <c r="E209" s="499">
        <v>2941</v>
      </c>
      <c r="F209" s="500">
        <v>8.44</v>
      </c>
      <c r="G209" s="450">
        <f t="shared" si="35"/>
        <v>24822.039999999997</v>
      </c>
      <c r="H209" s="504"/>
      <c r="I209" s="497">
        <v>41162</v>
      </c>
      <c r="J209" s="500">
        <v>8.1</v>
      </c>
      <c r="K209" s="453">
        <f t="shared" si="36"/>
        <v>23822.1</v>
      </c>
      <c r="L209" s="454">
        <f>SUM(K209-G209)</f>
        <v>-999.93999999999869</v>
      </c>
      <c r="M209" s="495">
        <v>1.03681</v>
      </c>
      <c r="N209" s="455">
        <f t="shared" si="27"/>
        <v>-1036.7477913999987</v>
      </c>
      <c r="O209" s="114"/>
      <c r="P209" s="119"/>
    </row>
    <row r="210" spans="1:16" s="18" customFormat="1" ht="15" customHeight="1">
      <c r="A210" s="457" t="s">
        <v>176</v>
      </c>
      <c r="B210" s="457" t="s">
        <v>177</v>
      </c>
      <c r="C210" s="457" t="s">
        <v>78</v>
      </c>
      <c r="D210" s="458">
        <v>41043</v>
      </c>
      <c r="E210" s="459">
        <v>5000</v>
      </c>
      <c r="F210" s="460">
        <v>1.77</v>
      </c>
      <c r="G210" s="461">
        <f t="shared" si="35"/>
        <v>8850</v>
      </c>
      <c r="H210" s="468"/>
      <c r="I210" s="458">
        <v>41166</v>
      </c>
      <c r="J210" s="532">
        <v>0.72499999999999998</v>
      </c>
      <c r="K210" s="464">
        <f t="shared" si="36"/>
        <v>3625</v>
      </c>
      <c r="L210" s="454">
        <f>SUM(G210-K210)</f>
        <v>5225</v>
      </c>
      <c r="M210" s="496">
        <v>1.05464</v>
      </c>
      <c r="N210" s="455">
        <f t="shared" si="27"/>
        <v>5510.4939999999997</v>
      </c>
      <c r="O210" s="113"/>
      <c r="P210" s="120"/>
    </row>
    <row r="211" spans="1:16" s="18" customFormat="1" ht="15" customHeight="1">
      <c r="A211" s="457" t="s">
        <v>440</v>
      </c>
      <c r="B211" s="457" t="s">
        <v>441</v>
      </c>
      <c r="C211" s="457" t="s">
        <v>78</v>
      </c>
      <c r="D211" s="458">
        <v>41081</v>
      </c>
      <c r="E211" s="459">
        <v>6048</v>
      </c>
      <c r="F211" s="460">
        <v>1.8660000000000001</v>
      </c>
      <c r="G211" s="461">
        <f t="shared" si="35"/>
        <v>11285.568000000001</v>
      </c>
      <c r="H211" s="468"/>
      <c r="I211" s="458">
        <v>41166</v>
      </c>
      <c r="J211" s="460">
        <v>1.615</v>
      </c>
      <c r="K211" s="464">
        <f t="shared" si="36"/>
        <v>9767.52</v>
      </c>
      <c r="L211" s="454">
        <f>SUM(G211-K211)</f>
        <v>1518.0480000000007</v>
      </c>
      <c r="M211" s="496">
        <v>1.05464</v>
      </c>
      <c r="N211" s="455">
        <f t="shared" si="27"/>
        <v>1600.9941427200008</v>
      </c>
      <c r="O211" s="113"/>
      <c r="P211" s="120"/>
    </row>
    <row r="212" spans="1:16" s="18" customFormat="1" ht="15" customHeight="1">
      <c r="A212" s="457" t="s">
        <v>442</v>
      </c>
      <c r="B212" s="457" t="s">
        <v>443</v>
      </c>
      <c r="C212" s="457" t="s">
        <v>78</v>
      </c>
      <c r="D212" s="458">
        <v>41031</v>
      </c>
      <c r="E212" s="459">
        <v>4687</v>
      </c>
      <c r="F212" s="460">
        <v>4.55</v>
      </c>
      <c r="G212" s="461">
        <f t="shared" si="35"/>
        <v>21325.85</v>
      </c>
      <c r="H212" s="468"/>
      <c r="I212" s="458">
        <v>41169</v>
      </c>
      <c r="J212" s="460">
        <v>2.82</v>
      </c>
      <c r="K212" s="464">
        <f t="shared" si="36"/>
        <v>13217.34</v>
      </c>
      <c r="L212" s="454">
        <f>SUM(G212-K212)</f>
        <v>8108.5099999999984</v>
      </c>
      <c r="M212" s="496">
        <v>1.0552600000000001</v>
      </c>
      <c r="N212" s="455">
        <f t="shared" si="27"/>
        <v>8556.5862625999998</v>
      </c>
      <c r="O212" s="113"/>
      <c r="P212" s="120"/>
    </row>
    <row r="213" spans="1:16" s="8" customFormat="1" ht="15" customHeight="1">
      <c r="A213" s="498" t="s">
        <v>444</v>
      </c>
      <c r="B213" s="498" t="s">
        <v>445</v>
      </c>
      <c r="C213" s="498" t="s">
        <v>53</v>
      </c>
      <c r="D213" s="497">
        <v>41113</v>
      </c>
      <c r="E213" s="499">
        <v>22000</v>
      </c>
      <c r="F213" s="500">
        <v>0.70899999999999996</v>
      </c>
      <c r="G213" s="450">
        <f t="shared" si="35"/>
        <v>15598</v>
      </c>
      <c r="H213" s="504"/>
      <c r="I213" s="497">
        <v>41169</v>
      </c>
      <c r="J213" s="500">
        <v>0.73599999999999999</v>
      </c>
      <c r="K213" s="453">
        <f t="shared" ref="K213:K238" si="37">SUM(E213*J213)</f>
        <v>16192</v>
      </c>
      <c r="L213" s="454">
        <f>SUM(K213-G213)</f>
        <v>594</v>
      </c>
      <c r="M213" s="495">
        <v>1.0552600000000001</v>
      </c>
      <c r="N213" s="455">
        <f t="shared" si="27"/>
        <v>626.8244400000001</v>
      </c>
      <c r="O213" s="114"/>
      <c r="P213" s="119"/>
    </row>
    <row r="214" spans="1:16" s="8" customFormat="1" ht="15" customHeight="1">
      <c r="A214" s="498" t="s">
        <v>446</v>
      </c>
      <c r="B214" s="498" t="s">
        <v>447</v>
      </c>
      <c r="C214" s="498" t="s">
        <v>53</v>
      </c>
      <c r="D214" s="497">
        <v>41138</v>
      </c>
      <c r="E214" s="499">
        <v>3061</v>
      </c>
      <c r="F214" s="500">
        <v>13.03</v>
      </c>
      <c r="G214" s="450">
        <f t="shared" si="35"/>
        <v>39884.829999999994</v>
      </c>
      <c r="H214" s="504"/>
      <c r="I214" s="497">
        <v>41169</v>
      </c>
      <c r="J214" s="500">
        <v>12.82</v>
      </c>
      <c r="K214" s="453">
        <f t="shared" si="37"/>
        <v>39242.020000000004</v>
      </c>
      <c r="L214" s="454">
        <f>SUM(K214-G214)</f>
        <v>-642.8099999999904</v>
      </c>
      <c r="M214" s="495">
        <v>1.0552600000000001</v>
      </c>
      <c r="N214" s="455">
        <f t="shared" si="27"/>
        <v>-678.33168059998991</v>
      </c>
      <c r="O214" s="114"/>
      <c r="P214" s="119"/>
    </row>
    <row r="215" spans="1:16" s="8" customFormat="1" ht="15" customHeight="1">
      <c r="A215" s="498" t="s">
        <v>448</v>
      </c>
      <c r="B215" s="498" t="s">
        <v>449</v>
      </c>
      <c r="C215" s="498" t="s">
        <v>53</v>
      </c>
      <c r="D215" s="497">
        <v>41155</v>
      </c>
      <c r="E215" s="499">
        <v>10000</v>
      </c>
      <c r="F215" s="500">
        <v>1.44</v>
      </c>
      <c r="G215" s="450">
        <f t="shared" si="35"/>
        <v>14400</v>
      </c>
      <c r="H215" s="504"/>
      <c r="I215" s="497">
        <v>41173</v>
      </c>
      <c r="J215" s="500">
        <v>1.34</v>
      </c>
      <c r="K215" s="453">
        <f t="shared" si="37"/>
        <v>13400</v>
      </c>
      <c r="L215" s="454">
        <f>SUM(K215-G215)</f>
        <v>-1000</v>
      </c>
      <c r="M215" s="495">
        <v>1.0434600000000001</v>
      </c>
      <c r="N215" s="455">
        <f t="shared" si="27"/>
        <v>-1043.46</v>
      </c>
      <c r="O215" s="114"/>
      <c r="P215" s="119"/>
    </row>
    <row r="216" spans="1:16" s="8" customFormat="1" ht="15" customHeight="1">
      <c r="A216" s="498" t="s">
        <v>450</v>
      </c>
      <c r="B216" s="498" t="s">
        <v>202</v>
      </c>
      <c r="C216" s="498" t="s">
        <v>53</v>
      </c>
      <c r="D216" s="497">
        <v>41143</v>
      </c>
      <c r="E216" s="499">
        <v>30000</v>
      </c>
      <c r="F216" s="500">
        <v>0.45500000000000002</v>
      </c>
      <c r="G216" s="450">
        <f t="shared" si="35"/>
        <v>13650</v>
      </c>
      <c r="H216" s="504"/>
      <c r="I216" s="497">
        <v>41178</v>
      </c>
      <c r="J216" s="500">
        <v>0.47499999999999998</v>
      </c>
      <c r="K216" s="453">
        <f t="shared" si="37"/>
        <v>14250</v>
      </c>
      <c r="L216" s="454">
        <f>SUM(K216-G216)</f>
        <v>600</v>
      </c>
      <c r="M216" s="495">
        <v>1.0389299999999999</v>
      </c>
      <c r="N216" s="455">
        <f t="shared" si="27"/>
        <v>623.35799999999995</v>
      </c>
      <c r="O216" s="114"/>
      <c r="P216" s="119"/>
    </row>
    <row r="217" spans="1:16" s="8" customFormat="1" ht="15" customHeight="1">
      <c r="A217" s="498" t="s">
        <v>451</v>
      </c>
      <c r="B217" s="498" t="s">
        <v>452</v>
      </c>
      <c r="C217" s="498" t="s">
        <v>53</v>
      </c>
      <c r="D217" s="497">
        <v>41138</v>
      </c>
      <c r="E217" s="499">
        <v>633</v>
      </c>
      <c r="F217" s="500">
        <v>26.18</v>
      </c>
      <c r="G217" s="450">
        <f t="shared" si="35"/>
        <v>16571.939999999999</v>
      </c>
      <c r="H217" s="504"/>
      <c r="I217" s="497">
        <v>41180</v>
      </c>
      <c r="J217" s="500">
        <v>25.83</v>
      </c>
      <c r="K217" s="453">
        <f t="shared" si="37"/>
        <v>16350.39</v>
      </c>
      <c r="L217" s="454">
        <f>SUM(K217-G217)</f>
        <v>-221.54999999999927</v>
      </c>
      <c r="M217" s="495">
        <v>1.0217400000000001</v>
      </c>
      <c r="N217" s="455">
        <f t="shared" si="27"/>
        <v>-226.36649699999927</v>
      </c>
      <c r="O217" s="114"/>
      <c r="P217" s="119"/>
    </row>
    <row r="218" spans="1:16" s="18" customFormat="1" ht="15" customHeight="1">
      <c r="A218" s="457" t="s">
        <v>220</v>
      </c>
      <c r="B218" s="457" t="s">
        <v>221</v>
      </c>
      <c r="C218" s="457" t="s">
        <v>78</v>
      </c>
      <c r="D218" s="458">
        <v>41138</v>
      </c>
      <c r="E218" s="459">
        <v>3571</v>
      </c>
      <c r="F218" s="460">
        <v>4.6500000000000004</v>
      </c>
      <c r="G218" s="461">
        <f t="shared" si="35"/>
        <v>16605.150000000001</v>
      </c>
      <c r="H218" s="468"/>
      <c r="I218" s="458">
        <v>41186</v>
      </c>
      <c r="J218" s="460">
        <v>4.8600000000000003</v>
      </c>
      <c r="K218" s="464">
        <f t="shared" si="37"/>
        <v>17355.060000000001</v>
      </c>
      <c r="L218" s="465">
        <f>SUM(G218-K218)</f>
        <v>-749.90999999999985</v>
      </c>
      <c r="M218" s="496">
        <v>1.0217400000000001</v>
      </c>
      <c r="N218" s="467">
        <f t="shared" si="27"/>
        <v>-766.21304339999995</v>
      </c>
      <c r="O218" s="113"/>
      <c r="P218" s="120"/>
    </row>
    <row r="219" spans="1:16" s="8" customFormat="1" ht="15" customHeight="1">
      <c r="A219" s="498" t="s">
        <v>260</v>
      </c>
      <c r="B219" s="498" t="s">
        <v>261</v>
      </c>
      <c r="C219" s="498" t="s">
        <v>53</v>
      </c>
      <c r="D219" s="497">
        <v>41190</v>
      </c>
      <c r="E219" s="499">
        <v>2343</v>
      </c>
      <c r="F219" s="500">
        <v>16.32</v>
      </c>
      <c r="G219" s="450">
        <f t="shared" si="35"/>
        <v>38237.760000000002</v>
      </c>
      <c r="H219" s="504"/>
      <c r="I219" s="497">
        <v>41205</v>
      </c>
      <c r="J219" s="500">
        <v>15.87</v>
      </c>
      <c r="K219" s="453">
        <f t="shared" si="37"/>
        <v>37183.409999999996</v>
      </c>
      <c r="L219" s="454">
        <f t="shared" ref="L219:L232" si="38">SUM(K219-G219)</f>
        <v>-1054.3500000000058</v>
      </c>
      <c r="M219" s="495">
        <v>1.0320800000000001</v>
      </c>
      <c r="N219" s="455">
        <f t="shared" si="27"/>
        <v>-1088.1735480000061</v>
      </c>
      <c r="O219" s="114"/>
      <c r="P219" s="119"/>
    </row>
    <row r="220" spans="1:16" s="8" customFormat="1" ht="15" customHeight="1">
      <c r="A220" s="498" t="s">
        <v>453</v>
      </c>
      <c r="B220" s="498" t="s">
        <v>454</v>
      </c>
      <c r="C220" s="498" t="s">
        <v>53</v>
      </c>
      <c r="D220" s="497">
        <v>41194</v>
      </c>
      <c r="E220" s="499">
        <v>5000</v>
      </c>
      <c r="F220" s="500">
        <v>3.9</v>
      </c>
      <c r="G220" s="450">
        <f t="shared" si="35"/>
        <v>19500</v>
      </c>
      <c r="H220" s="504"/>
      <c r="I220" s="497">
        <v>41206</v>
      </c>
      <c r="J220" s="500">
        <v>3.7</v>
      </c>
      <c r="K220" s="453">
        <f t="shared" si="37"/>
        <v>18500</v>
      </c>
      <c r="L220" s="454">
        <f t="shared" si="38"/>
        <v>-1000</v>
      </c>
      <c r="M220" s="495">
        <v>1.0264599999999999</v>
      </c>
      <c r="N220" s="455">
        <f t="shared" si="27"/>
        <v>-1026.46</v>
      </c>
      <c r="O220" s="114"/>
      <c r="P220" s="119"/>
    </row>
    <row r="221" spans="1:16" s="8" customFormat="1" ht="15" customHeight="1">
      <c r="A221" s="498" t="s">
        <v>434</v>
      </c>
      <c r="B221" s="498" t="s">
        <v>435</v>
      </c>
      <c r="C221" s="498" t="s">
        <v>53</v>
      </c>
      <c r="D221" s="497">
        <v>41144</v>
      </c>
      <c r="E221" s="499">
        <v>5769</v>
      </c>
      <c r="F221" s="500">
        <v>0.60499999999999998</v>
      </c>
      <c r="G221" s="450">
        <f t="shared" si="35"/>
        <v>3490.2449999999999</v>
      </c>
      <c r="H221" s="504"/>
      <c r="I221" s="497">
        <v>41213</v>
      </c>
      <c r="J221" s="500">
        <v>0.45900000000000002</v>
      </c>
      <c r="K221" s="453">
        <f t="shared" si="37"/>
        <v>2647.971</v>
      </c>
      <c r="L221" s="454">
        <f t="shared" si="38"/>
        <v>-842.27399999999989</v>
      </c>
      <c r="M221" s="495">
        <v>1.0363100000000001</v>
      </c>
      <c r="N221" s="455">
        <f t="shared" ref="N221:N238" si="39">SUM(L221*M221)</f>
        <v>-872.85696893999989</v>
      </c>
      <c r="O221" s="114"/>
      <c r="P221" s="119"/>
    </row>
    <row r="222" spans="1:16" s="8" customFormat="1" ht="15" customHeight="1">
      <c r="A222" s="498" t="s">
        <v>264</v>
      </c>
      <c r="B222" s="498" t="s">
        <v>265</v>
      </c>
      <c r="C222" s="498" t="s">
        <v>53</v>
      </c>
      <c r="D222" s="497">
        <v>41192</v>
      </c>
      <c r="E222" s="499">
        <v>1807</v>
      </c>
      <c r="F222" s="500">
        <v>26.1</v>
      </c>
      <c r="G222" s="450">
        <f t="shared" si="35"/>
        <v>47162.700000000004</v>
      </c>
      <c r="H222" s="504"/>
      <c r="I222" s="497">
        <v>41213</v>
      </c>
      <c r="J222" s="500">
        <v>25.66</v>
      </c>
      <c r="K222" s="453">
        <f t="shared" si="37"/>
        <v>46367.62</v>
      </c>
      <c r="L222" s="454">
        <f t="shared" si="38"/>
        <v>-795.08000000000175</v>
      </c>
      <c r="M222" s="495">
        <v>1.0363100000000001</v>
      </c>
      <c r="N222" s="455">
        <f t="shared" si="39"/>
        <v>-823.94935480000186</v>
      </c>
      <c r="O222" s="114"/>
      <c r="P222" s="119"/>
    </row>
    <row r="223" spans="1:16" s="8" customFormat="1" ht="15" customHeight="1">
      <c r="A223" s="498" t="s">
        <v>442</v>
      </c>
      <c r="B223" s="498" t="s">
        <v>443</v>
      </c>
      <c r="C223" s="498" t="s">
        <v>53</v>
      </c>
      <c r="D223" s="497">
        <v>41169</v>
      </c>
      <c r="E223" s="499">
        <v>2027</v>
      </c>
      <c r="F223" s="500">
        <v>2.82</v>
      </c>
      <c r="G223" s="450">
        <f t="shared" si="35"/>
        <v>5716.1399999999994</v>
      </c>
      <c r="H223" s="504"/>
      <c r="I223" s="497">
        <v>41219</v>
      </c>
      <c r="J223" s="500">
        <v>2.4359999999999999</v>
      </c>
      <c r="K223" s="453">
        <f t="shared" si="37"/>
        <v>4937.7719999999999</v>
      </c>
      <c r="L223" s="454">
        <f t="shared" si="38"/>
        <v>-778.36799999999948</v>
      </c>
      <c r="M223" s="495">
        <v>1.0364100000000001</v>
      </c>
      <c r="N223" s="455">
        <f t="shared" si="39"/>
        <v>-806.70837887999949</v>
      </c>
      <c r="O223" s="114"/>
      <c r="P223" s="119"/>
    </row>
    <row r="224" spans="1:16" s="8" customFormat="1" ht="15" customHeight="1">
      <c r="A224" s="498" t="s">
        <v>235</v>
      </c>
      <c r="B224" s="498" t="s">
        <v>236</v>
      </c>
      <c r="C224" s="498" t="s">
        <v>53</v>
      </c>
      <c r="D224" s="497">
        <v>41194</v>
      </c>
      <c r="E224" s="499">
        <v>11112</v>
      </c>
      <c r="F224" s="500">
        <v>0.95</v>
      </c>
      <c r="G224" s="450">
        <f t="shared" si="35"/>
        <v>10556.4</v>
      </c>
      <c r="H224" s="504"/>
      <c r="I224" s="497">
        <v>41219</v>
      </c>
      <c r="J224" s="500">
        <v>0.86</v>
      </c>
      <c r="K224" s="453">
        <f t="shared" si="37"/>
        <v>9556.32</v>
      </c>
      <c r="L224" s="454">
        <f t="shared" si="38"/>
        <v>-1000.0799999999999</v>
      </c>
      <c r="M224" s="495">
        <v>1.0364100000000001</v>
      </c>
      <c r="N224" s="455">
        <f t="shared" si="39"/>
        <v>-1036.4929127999999</v>
      </c>
      <c r="O224" s="114"/>
      <c r="P224" s="119"/>
    </row>
    <row r="225" spans="1:16" s="8" customFormat="1" ht="15" customHeight="1">
      <c r="A225" s="498" t="s">
        <v>455</v>
      </c>
      <c r="B225" s="498" t="s">
        <v>456</v>
      </c>
      <c r="C225" s="498" t="s">
        <v>53</v>
      </c>
      <c r="D225" s="497">
        <v>41194</v>
      </c>
      <c r="E225" s="499">
        <v>2050</v>
      </c>
      <c r="F225" s="500">
        <v>12.9</v>
      </c>
      <c r="G225" s="450">
        <f t="shared" si="35"/>
        <v>26445</v>
      </c>
      <c r="H225" s="504"/>
      <c r="I225" s="497">
        <v>41219</v>
      </c>
      <c r="J225" s="500">
        <v>12.42</v>
      </c>
      <c r="K225" s="453">
        <f t="shared" si="37"/>
        <v>25461</v>
      </c>
      <c r="L225" s="454">
        <f t="shared" si="38"/>
        <v>-984</v>
      </c>
      <c r="M225" s="495">
        <v>1.0364100000000001</v>
      </c>
      <c r="N225" s="455">
        <f t="shared" si="39"/>
        <v>-1019.82744</v>
      </c>
      <c r="O225" s="114"/>
      <c r="P225" s="119"/>
    </row>
    <row r="226" spans="1:16" s="8" customFormat="1" ht="15" customHeight="1">
      <c r="A226" s="498" t="s">
        <v>457</v>
      </c>
      <c r="B226" s="498" t="s">
        <v>240</v>
      </c>
      <c r="C226" s="498" t="s">
        <v>53</v>
      </c>
      <c r="D226" s="497">
        <v>41213</v>
      </c>
      <c r="E226" s="499">
        <v>8323</v>
      </c>
      <c r="F226" s="500">
        <v>1.43</v>
      </c>
      <c r="G226" s="450">
        <f t="shared" si="35"/>
        <v>11901.89</v>
      </c>
      <c r="H226" s="504"/>
      <c r="I226" s="497">
        <v>41220</v>
      </c>
      <c r="J226" s="500">
        <v>1.36</v>
      </c>
      <c r="K226" s="453">
        <f t="shared" si="37"/>
        <v>11319.28</v>
      </c>
      <c r="L226" s="454">
        <f t="shared" si="38"/>
        <v>-582.60999999999876</v>
      </c>
      <c r="M226" s="495">
        <v>1.0434099999999999</v>
      </c>
      <c r="N226" s="455">
        <f t="shared" si="39"/>
        <v>-607.90110009999864</v>
      </c>
      <c r="O226" s="114"/>
      <c r="P226" s="119"/>
    </row>
    <row r="227" spans="1:16" s="8" customFormat="1" ht="15" customHeight="1">
      <c r="A227" s="498" t="s">
        <v>458</v>
      </c>
      <c r="B227" s="498" t="s">
        <v>459</v>
      </c>
      <c r="C227" s="498" t="s">
        <v>53</v>
      </c>
      <c r="D227" s="497">
        <v>41066</v>
      </c>
      <c r="E227" s="499">
        <v>862</v>
      </c>
      <c r="F227" s="533">
        <v>47.37</v>
      </c>
      <c r="G227" s="450">
        <f>SUM(E227*F227)</f>
        <v>40832.939999999995</v>
      </c>
      <c r="H227" s="504"/>
      <c r="I227" s="497">
        <v>41220</v>
      </c>
      <c r="J227" s="500">
        <v>47.34</v>
      </c>
      <c r="K227" s="453">
        <f>SUM(E227*J227)</f>
        <v>40807.08</v>
      </c>
      <c r="L227" s="454">
        <f>SUM(K227-G227)</f>
        <v>-25.859999999993306</v>
      </c>
      <c r="M227" s="495">
        <v>1.0434099999999999</v>
      </c>
      <c r="N227" s="455">
        <f>SUM(L227*M227)</f>
        <v>-26.982582599993012</v>
      </c>
      <c r="O227" s="114"/>
      <c r="P227" s="119"/>
    </row>
    <row r="228" spans="1:16" s="8" customFormat="1" ht="15" customHeight="1">
      <c r="A228" s="498" t="s">
        <v>460</v>
      </c>
      <c r="B228" s="498" t="s">
        <v>461</v>
      </c>
      <c r="C228" s="498" t="s">
        <v>53</v>
      </c>
      <c r="D228" s="497">
        <v>41159</v>
      </c>
      <c r="E228" s="499">
        <v>408</v>
      </c>
      <c r="F228" s="533">
        <v>89.41</v>
      </c>
      <c r="G228" s="450">
        <f>SUM(E228*F228)</f>
        <v>36479.279999999999</v>
      </c>
      <c r="H228" s="504"/>
      <c r="I228" s="497">
        <v>41220</v>
      </c>
      <c r="J228" s="500">
        <v>88.91</v>
      </c>
      <c r="K228" s="453">
        <f>SUM(E228*J228)</f>
        <v>36275.279999999999</v>
      </c>
      <c r="L228" s="454">
        <f>SUM(K228-G228)</f>
        <v>-204</v>
      </c>
      <c r="M228" s="495">
        <v>1.0434099999999999</v>
      </c>
      <c r="N228" s="455">
        <f>SUM(L228*M228)</f>
        <v>-212.85563999999999</v>
      </c>
      <c r="O228" s="114"/>
      <c r="P228" s="119"/>
    </row>
    <row r="229" spans="1:16" s="8" customFormat="1" ht="15" customHeight="1">
      <c r="A229" s="498" t="s">
        <v>352</v>
      </c>
      <c r="B229" s="498" t="s">
        <v>219</v>
      </c>
      <c r="C229" s="498" t="s">
        <v>53</v>
      </c>
      <c r="D229" s="497">
        <v>41169</v>
      </c>
      <c r="E229" s="499">
        <v>15700</v>
      </c>
      <c r="F229" s="500">
        <v>1.59</v>
      </c>
      <c r="G229" s="450">
        <f t="shared" si="35"/>
        <v>24963</v>
      </c>
      <c r="H229" s="504"/>
      <c r="I229" s="497">
        <v>41221</v>
      </c>
      <c r="J229" s="500">
        <v>1.617</v>
      </c>
      <c r="K229" s="453">
        <f t="shared" si="37"/>
        <v>25386.9</v>
      </c>
      <c r="L229" s="454">
        <f t="shared" si="38"/>
        <v>423.90000000000146</v>
      </c>
      <c r="M229" s="495">
        <v>1.0406</v>
      </c>
      <c r="N229" s="455">
        <f t="shared" si="39"/>
        <v>441.11034000000149</v>
      </c>
      <c r="O229" s="114"/>
      <c r="P229" s="119"/>
    </row>
    <row r="230" spans="1:16" s="8" customFormat="1" ht="15" customHeight="1">
      <c r="A230" s="498" t="s">
        <v>462</v>
      </c>
      <c r="B230" s="498" t="s">
        <v>463</v>
      </c>
      <c r="C230" s="498" t="s">
        <v>53</v>
      </c>
      <c r="D230" s="497">
        <v>41221</v>
      </c>
      <c r="E230" s="499">
        <v>465</v>
      </c>
      <c r="F230" s="533">
        <v>51.45</v>
      </c>
      <c r="G230" s="450">
        <f t="shared" ref="G230:G238" si="40">SUM(E230*F230)</f>
        <v>23924.25</v>
      </c>
      <c r="H230" s="504"/>
      <c r="I230" s="497">
        <v>41222</v>
      </c>
      <c r="J230" s="533">
        <v>49.31</v>
      </c>
      <c r="K230" s="453">
        <f t="shared" si="37"/>
        <v>22929.15</v>
      </c>
      <c r="L230" s="454">
        <f t="shared" si="38"/>
        <v>-995.09999999999854</v>
      </c>
      <c r="M230" s="495">
        <v>1.04047</v>
      </c>
      <c r="N230" s="455">
        <f t="shared" si="39"/>
        <v>-1035.3716969999984</v>
      </c>
      <c r="O230" s="114"/>
      <c r="P230" s="119"/>
    </row>
    <row r="231" spans="1:16" s="8" customFormat="1" ht="15" customHeight="1">
      <c r="A231" s="498" t="s">
        <v>419</v>
      </c>
      <c r="B231" s="498" t="s">
        <v>243</v>
      </c>
      <c r="C231" s="498" t="s">
        <v>53</v>
      </c>
      <c r="D231" s="497">
        <v>41194</v>
      </c>
      <c r="E231" s="499">
        <v>867</v>
      </c>
      <c r="F231" s="500">
        <v>34.4</v>
      </c>
      <c r="G231" s="450">
        <f t="shared" si="40"/>
        <v>29824.799999999999</v>
      </c>
      <c r="H231" s="504"/>
      <c r="I231" s="497">
        <v>41228</v>
      </c>
      <c r="J231" s="500">
        <v>33.25</v>
      </c>
      <c r="K231" s="453">
        <f t="shared" si="37"/>
        <v>28827.75</v>
      </c>
      <c r="L231" s="454">
        <f t="shared" si="38"/>
        <v>-997.04999999999927</v>
      </c>
      <c r="M231" s="495">
        <v>1.03752</v>
      </c>
      <c r="N231" s="455">
        <f t="shared" si="39"/>
        <v>-1034.4593159999993</v>
      </c>
      <c r="O231" s="114"/>
      <c r="P231" s="119"/>
    </row>
    <row r="232" spans="1:16" s="8" customFormat="1" ht="15" customHeight="1">
      <c r="A232" s="498" t="s">
        <v>464</v>
      </c>
      <c r="B232" s="498" t="s">
        <v>395</v>
      </c>
      <c r="C232" s="498" t="s">
        <v>53</v>
      </c>
      <c r="D232" s="497">
        <v>41155</v>
      </c>
      <c r="E232" s="499">
        <v>2083</v>
      </c>
      <c r="F232" s="500">
        <v>23.07</v>
      </c>
      <c r="G232" s="450">
        <f t="shared" si="40"/>
        <v>48054.81</v>
      </c>
      <c r="H232" s="504"/>
      <c r="I232" s="497">
        <v>41229</v>
      </c>
      <c r="J232" s="500">
        <v>22.84</v>
      </c>
      <c r="K232" s="453">
        <f t="shared" si="37"/>
        <v>47575.72</v>
      </c>
      <c r="L232" s="454">
        <f t="shared" si="38"/>
        <v>-479.08999999999651</v>
      </c>
      <c r="M232" s="495">
        <v>1.0331399999999999</v>
      </c>
      <c r="N232" s="455">
        <f t="shared" si="39"/>
        <v>-494.96704259999638</v>
      </c>
      <c r="O232" s="114"/>
      <c r="P232" s="119"/>
    </row>
    <row r="233" spans="1:16" s="18" customFormat="1" ht="15" customHeight="1">
      <c r="A233" s="457" t="s">
        <v>465</v>
      </c>
      <c r="B233" s="457" t="s">
        <v>466</v>
      </c>
      <c r="C233" s="457" t="s">
        <v>78</v>
      </c>
      <c r="D233" s="458">
        <v>41064</v>
      </c>
      <c r="E233" s="459">
        <v>3410</v>
      </c>
      <c r="F233" s="460">
        <v>2.27</v>
      </c>
      <c r="G233" s="461">
        <f t="shared" si="40"/>
        <v>7740.7</v>
      </c>
      <c r="H233" s="468"/>
      <c r="I233" s="458">
        <v>41229</v>
      </c>
      <c r="J233" s="460">
        <v>1.37</v>
      </c>
      <c r="K233" s="464">
        <f t="shared" si="37"/>
        <v>4671.7000000000007</v>
      </c>
      <c r="L233" s="454">
        <f>SUM(G233-K233)</f>
        <v>3068.9999999999991</v>
      </c>
      <c r="M233" s="496">
        <v>1.0331399999999999</v>
      </c>
      <c r="N233" s="455">
        <f t="shared" si="39"/>
        <v>3170.7066599999989</v>
      </c>
      <c r="O233" s="113"/>
      <c r="P233" s="120"/>
    </row>
    <row r="234" spans="1:16" s="8" customFormat="1" ht="15" customHeight="1">
      <c r="A234" s="498" t="s">
        <v>467</v>
      </c>
      <c r="B234" s="498" t="s">
        <v>468</v>
      </c>
      <c r="C234" s="498" t="s">
        <v>53</v>
      </c>
      <c r="D234" s="497">
        <v>41194</v>
      </c>
      <c r="E234" s="499">
        <v>4166</v>
      </c>
      <c r="F234" s="500">
        <v>3.07</v>
      </c>
      <c r="G234" s="450">
        <f t="shared" si="40"/>
        <v>12789.619999999999</v>
      </c>
      <c r="H234" s="504"/>
      <c r="I234" s="497">
        <v>41239</v>
      </c>
      <c r="J234" s="500">
        <v>2.83</v>
      </c>
      <c r="K234" s="453">
        <f t="shared" si="37"/>
        <v>11789.78</v>
      </c>
      <c r="L234" s="454">
        <f t="shared" ref="L234:L239" si="41">SUM(K234-G234)</f>
        <v>-999.83999999999833</v>
      </c>
      <c r="M234" s="495">
        <v>1.04593</v>
      </c>
      <c r="N234" s="455">
        <f t="shared" si="39"/>
        <v>-1045.7626511999983</v>
      </c>
      <c r="O234" s="114"/>
      <c r="P234" s="119"/>
    </row>
    <row r="235" spans="1:16" s="8" customFormat="1" ht="15" customHeight="1">
      <c r="A235" s="498" t="s">
        <v>455</v>
      </c>
      <c r="B235" s="498" t="s">
        <v>456</v>
      </c>
      <c r="C235" s="498" t="s">
        <v>53</v>
      </c>
      <c r="D235" s="497">
        <v>41246</v>
      </c>
      <c r="E235" s="499">
        <v>2678</v>
      </c>
      <c r="F235" s="500">
        <v>13.43</v>
      </c>
      <c r="G235" s="450">
        <f t="shared" si="40"/>
        <v>35965.54</v>
      </c>
      <c r="H235" s="504"/>
      <c r="I235" s="497">
        <v>41288</v>
      </c>
      <c r="J235" s="500">
        <v>13.31</v>
      </c>
      <c r="K235" s="453">
        <f t="shared" si="37"/>
        <v>35644.18</v>
      </c>
      <c r="L235" s="454">
        <f t="shared" si="41"/>
        <v>-321.36000000000058</v>
      </c>
      <c r="M235" s="495">
        <v>1.0549200000000001</v>
      </c>
      <c r="N235" s="455">
        <f t="shared" si="39"/>
        <v>-339.00909120000063</v>
      </c>
      <c r="O235" s="114"/>
      <c r="P235" s="119"/>
    </row>
    <row r="236" spans="1:16" s="8" customFormat="1" ht="15" customHeight="1">
      <c r="A236" s="498" t="s">
        <v>469</v>
      </c>
      <c r="B236" s="498" t="s">
        <v>470</v>
      </c>
      <c r="C236" s="498" t="s">
        <v>53</v>
      </c>
      <c r="D236" s="497">
        <v>41260</v>
      </c>
      <c r="E236" s="499">
        <v>5000</v>
      </c>
      <c r="F236" s="500">
        <v>2.25</v>
      </c>
      <c r="G236" s="450">
        <f t="shared" si="40"/>
        <v>11250</v>
      </c>
      <c r="H236" s="504"/>
      <c r="I236" s="497">
        <v>41296</v>
      </c>
      <c r="J236" s="500">
        <v>2.1320000000000001</v>
      </c>
      <c r="K236" s="453">
        <f t="shared" si="37"/>
        <v>10660</v>
      </c>
      <c r="L236" s="454">
        <f t="shared" si="41"/>
        <v>-590</v>
      </c>
      <c r="M236" s="495">
        <v>1.0514699999999999</v>
      </c>
      <c r="N236" s="455">
        <f t="shared" si="39"/>
        <v>-620.3673</v>
      </c>
      <c r="O236" s="114"/>
      <c r="P236" s="119"/>
    </row>
    <row r="237" spans="1:16" s="8" customFormat="1" ht="15" customHeight="1">
      <c r="A237" s="498" t="s">
        <v>471</v>
      </c>
      <c r="B237" s="498" t="s">
        <v>223</v>
      </c>
      <c r="C237" s="498" t="s">
        <v>53</v>
      </c>
      <c r="D237" s="497">
        <v>41260</v>
      </c>
      <c r="E237" s="499">
        <v>2678</v>
      </c>
      <c r="F237" s="500">
        <v>8.42</v>
      </c>
      <c r="G237" s="450">
        <f t="shared" si="40"/>
        <v>22548.76</v>
      </c>
      <c r="H237" s="504"/>
      <c r="I237" s="497">
        <v>41298</v>
      </c>
      <c r="J237" s="500">
        <v>8.06</v>
      </c>
      <c r="K237" s="453">
        <f t="shared" si="37"/>
        <v>21584.68</v>
      </c>
      <c r="L237" s="454">
        <f t="shared" si="41"/>
        <v>-964.07999999999811</v>
      </c>
      <c r="M237" s="495">
        <v>1.0553699999999999</v>
      </c>
      <c r="N237" s="455">
        <f t="shared" si="39"/>
        <v>-1017.4611095999979</v>
      </c>
      <c r="O237" s="114"/>
      <c r="P237" s="119"/>
    </row>
    <row r="238" spans="1:16" s="8" customFormat="1" ht="15" customHeight="1">
      <c r="A238" s="498" t="s">
        <v>472</v>
      </c>
      <c r="B238" s="498" t="s">
        <v>473</v>
      </c>
      <c r="C238" s="498" t="s">
        <v>53</v>
      </c>
      <c r="D238" s="497">
        <v>41270</v>
      </c>
      <c r="E238" s="499">
        <v>3554</v>
      </c>
      <c r="F238" s="500">
        <v>3.49</v>
      </c>
      <c r="G238" s="450">
        <f t="shared" si="40"/>
        <v>12403.460000000001</v>
      </c>
      <c r="H238" s="504"/>
      <c r="I238" s="497">
        <v>41298</v>
      </c>
      <c r="J238" s="500">
        <v>3.42</v>
      </c>
      <c r="K238" s="453">
        <f t="shared" si="37"/>
        <v>12154.68</v>
      </c>
      <c r="L238" s="454">
        <f t="shared" si="41"/>
        <v>-248.78000000000065</v>
      </c>
      <c r="M238" s="495">
        <v>1.0553699999999999</v>
      </c>
      <c r="N238" s="455">
        <f t="shared" si="39"/>
        <v>-262.55494860000067</v>
      </c>
      <c r="O238" s="114"/>
      <c r="P238" s="119"/>
    </row>
    <row r="239" spans="1:16" s="117" customFormat="1" ht="15" customHeight="1">
      <c r="A239" s="446" t="s">
        <v>176</v>
      </c>
      <c r="B239" s="446" t="s">
        <v>177</v>
      </c>
      <c r="C239" s="446" t="s">
        <v>53</v>
      </c>
      <c r="D239" s="447">
        <v>41166</v>
      </c>
      <c r="E239" s="448">
        <v>5970</v>
      </c>
      <c r="F239" s="449">
        <v>0.72499999999999998</v>
      </c>
      <c r="G239" s="450">
        <f t="shared" ref="G239:G245" si="42">SUM(E239*F239)</f>
        <v>4328.25</v>
      </c>
      <c r="H239" s="462"/>
      <c r="I239" s="497">
        <v>41304</v>
      </c>
      <c r="J239" s="449">
        <v>0.96</v>
      </c>
      <c r="K239" s="453">
        <f t="shared" ref="K239:K245" si="43">SUM(E239*J239)</f>
        <v>5731.2</v>
      </c>
      <c r="L239" s="454">
        <f t="shared" si="41"/>
        <v>1402.9499999999998</v>
      </c>
      <c r="M239" s="429">
        <v>1.0473699999999999</v>
      </c>
      <c r="N239" s="455">
        <f t="shared" ref="N239:N245" si="44">SUM(L239*M239)</f>
        <v>1469.4077414999997</v>
      </c>
      <c r="O239" s="365"/>
      <c r="P239" s="122"/>
    </row>
    <row r="240" spans="1:16" s="117" customFormat="1" ht="15" customHeight="1">
      <c r="A240" s="457" t="s">
        <v>398</v>
      </c>
      <c r="B240" s="457" t="s">
        <v>274</v>
      </c>
      <c r="C240" s="457" t="s">
        <v>78</v>
      </c>
      <c r="D240" s="458">
        <v>41246</v>
      </c>
      <c r="E240" s="459">
        <v>12500</v>
      </c>
      <c r="F240" s="460">
        <v>1.23</v>
      </c>
      <c r="G240" s="461">
        <f t="shared" si="42"/>
        <v>15375</v>
      </c>
      <c r="H240" s="462"/>
      <c r="I240" s="458">
        <v>41304</v>
      </c>
      <c r="J240" s="460">
        <v>1.24</v>
      </c>
      <c r="K240" s="464">
        <f t="shared" si="43"/>
        <v>15500</v>
      </c>
      <c r="L240" s="465">
        <f>SUM(G240-K240)</f>
        <v>-125</v>
      </c>
      <c r="M240" s="466">
        <v>1.0473699999999999</v>
      </c>
      <c r="N240" s="467">
        <f t="shared" si="44"/>
        <v>-130.92124999999999</v>
      </c>
      <c r="O240" s="365"/>
      <c r="P240" s="122"/>
    </row>
    <row r="241" spans="1:16" s="117" customFormat="1" ht="15" customHeight="1">
      <c r="A241" s="446" t="s">
        <v>847</v>
      </c>
      <c r="B241" s="446" t="s">
        <v>454</v>
      </c>
      <c r="C241" s="446" t="s">
        <v>53</v>
      </c>
      <c r="D241" s="447">
        <v>41283</v>
      </c>
      <c r="E241" s="448">
        <v>8333</v>
      </c>
      <c r="F241" s="449">
        <v>4.1849999999999996</v>
      </c>
      <c r="G241" s="450">
        <f t="shared" si="42"/>
        <v>34873.604999999996</v>
      </c>
      <c r="H241" s="462"/>
      <c r="I241" s="534">
        <v>41309</v>
      </c>
      <c r="J241" s="449">
        <v>4.4000000000000004</v>
      </c>
      <c r="K241" s="453">
        <f t="shared" si="43"/>
        <v>36665.200000000004</v>
      </c>
      <c r="L241" s="454">
        <f t="shared" ref="L241:L247" si="45">SUM(K241-G241)</f>
        <v>1791.5950000000084</v>
      </c>
      <c r="M241" s="429">
        <v>1.04148</v>
      </c>
      <c r="N241" s="455">
        <f t="shared" si="44"/>
        <v>1865.9103606000087</v>
      </c>
      <c r="O241" s="365"/>
      <c r="P241" s="122"/>
    </row>
    <row r="242" spans="1:16" s="117" customFormat="1" ht="15" customHeight="1">
      <c r="A242" s="446" t="s">
        <v>442</v>
      </c>
      <c r="B242" s="446" t="s">
        <v>443</v>
      </c>
      <c r="C242" s="446" t="s">
        <v>53</v>
      </c>
      <c r="D242" s="447">
        <v>41288</v>
      </c>
      <c r="E242" s="448">
        <v>4054</v>
      </c>
      <c r="F242" s="449">
        <v>3.2050000000000001</v>
      </c>
      <c r="G242" s="450">
        <f t="shared" si="42"/>
        <v>12993.07</v>
      </c>
      <c r="H242" s="462"/>
      <c r="I242" s="534">
        <v>41309</v>
      </c>
      <c r="J242" s="449">
        <v>2.835</v>
      </c>
      <c r="K242" s="453">
        <f t="shared" si="43"/>
        <v>11493.09</v>
      </c>
      <c r="L242" s="454">
        <f t="shared" si="45"/>
        <v>-1499.9799999999996</v>
      </c>
      <c r="M242" s="429">
        <v>1.04148</v>
      </c>
      <c r="N242" s="455">
        <f t="shared" si="44"/>
        <v>-1562.1991703999995</v>
      </c>
      <c r="O242" s="365"/>
      <c r="P242" s="122"/>
    </row>
    <row r="243" spans="1:16" s="117" customFormat="1" ht="15" customHeight="1">
      <c r="A243" s="446" t="s">
        <v>235</v>
      </c>
      <c r="B243" s="446" t="s">
        <v>236</v>
      </c>
      <c r="C243" s="446" t="s">
        <v>53</v>
      </c>
      <c r="D243" s="447">
        <v>41283</v>
      </c>
      <c r="E243" s="448">
        <v>16667</v>
      </c>
      <c r="F243" s="449">
        <v>1.04</v>
      </c>
      <c r="G243" s="450">
        <f t="shared" si="42"/>
        <v>17333.68</v>
      </c>
      <c r="H243" s="462"/>
      <c r="I243" s="534">
        <v>41311</v>
      </c>
      <c r="J243" s="449">
        <v>1.0269999999999999</v>
      </c>
      <c r="K243" s="453">
        <f t="shared" si="43"/>
        <v>17117.008999999998</v>
      </c>
      <c r="L243" s="454">
        <f t="shared" si="45"/>
        <v>-216.6710000000021</v>
      </c>
      <c r="M243" s="429">
        <v>1.03878</v>
      </c>
      <c r="N243" s="455">
        <f t="shared" si="44"/>
        <v>-225.0735013800022</v>
      </c>
      <c r="O243" s="365"/>
      <c r="P243" s="122"/>
    </row>
    <row r="244" spans="1:16" s="115" customFormat="1" ht="15" customHeight="1">
      <c r="A244" s="14" t="s">
        <v>970</v>
      </c>
      <c r="B244" s="446" t="s">
        <v>219</v>
      </c>
      <c r="C244" s="446" t="s">
        <v>53</v>
      </c>
      <c r="D244" s="447">
        <v>41316</v>
      </c>
      <c r="E244" s="448">
        <v>8500</v>
      </c>
      <c r="F244" s="449">
        <v>2.1800000000000002</v>
      </c>
      <c r="G244" s="450">
        <f t="shared" si="42"/>
        <v>18530</v>
      </c>
      <c r="H244" s="451"/>
      <c r="I244" s="534">
        <v>41325</v>
      </c>
      <c r="J244" s="449">
        <v>2.04</v>
      </c>
      <c r="K244" s="453">
        <f t="shared" si="43"/>
        <v>17340</v>
      </c>
      <c r="L244" s="454">
        <f t="shared" si="45"/>
        <v>-1190</v>
      </c>
      <c r="M244" s="429">
        <v>1.03548</v>
      </c>
      <c r="N244" s="455">
        <f t="shared" si="44"/>
        <v>-1232.2212</v>
      </c>
      <c r="O244" s="366"/>
      <c r="P244" s="121"/>
    </row>
    <row r="245" spans="1:16" s="115" customFormat="1" ht="15" customHeight="1">
      <c r="A245" s="14" t="s">
        <v>419</v>
      </c>
      <c r="B245" s="446" t="s">
        <v>243</v>
      </c>
      <c r="C245" s="446" t="s">
        <v>53</v>
      </c>
      <c r="D245" s="447">
        <v>41323</v>
      </c>
      <c r="E245" s="448">
        <v>1293</v>
      </c>
      <c r="F245" s="449">
        <v>38.770000000000003</v>
      </c>
      <c r="G245" s="450">
        <f t="shared" si="42"/>
        <v>50129.61</v>
      </c>
      <c r="H245" s="451"/>
      <c r="I245" s="452" t="s">
        <v>1034</v>
      </c>
      <c r="J245" s="449">
        <v>37.61</v>
      </c>
      <c r="K245" s="453">
        <f t="shared" si="43"/>
        <v>48629.729999999996</v>
      </c>
      <c r="L245" s="454">
        <f t="shared" si="45"/>
        <v>-1499.8800000000047</v>
      </c>
      <c r="M245" s="429">
        <v>1.0255099999999999</v>
      </c>
      <c r="N245" s="455">
        <f t="shared" si="44"/>
        <v>-1538.1419388000047</v>
      </c>
      <c r="O245" s="366"/>
      <c r="P245" s="121"/>
    </row>
    <row r="246" spans="1:16" s="117" customFormat="1" ht="15" customHeight="1">
      <c r="A246" s="446" t="s">
        <v>845</v>
      </c>
      <c r="B246" s="446" t="s">
        <v>846</v>
      </c>
      <c r="C246" s="446" t="s">
        <v>53</v>
      </c>
      <c r="D246" s="447">
        <v>41239</v>
      </c>
      <c r="E246" s="448">
        <v>33335</v>
      </c>
      <c r="F246" s="449">
        <v>0.19500000000000001</v>
      </c>
      <c r="G246" s="450">
        <f t="shared" ref="G246:G252" si="46">SUM(E246*F246)</f>
        <v>6500.3249999999998</v>
      </c>
      <c r="H246" s="462"/>
      <c r="I246" s="534">
        <v>41330</v>
      </c>
      <c r="J246" s="449">
        <v>0.21379999999999999</v>
      </c>
      <c r="K246" s="453">
        <f t="shared" ref="K246:K252" si="47">SUM(E246*J246)</f>
        <v>7127.0229999999992</v>
      </c>
      <c r="L246" s="454">
        <f t="shared" si="45"/>
        <v>626.69799999999941</v>
      </c>
      <c r="M246" s="429">
        <v>1.0301400000000001</v>
      </c>
      <c r="N246" s="455">
        <f t="shared" ref="N246:N252" si="48">SUM(L246*M246)</f>
        <v>645.58667771999944</v>
      </c>
      <c r="O246" s="365"/>
      <c r="P246" s="122"/>
    </row>
    <row r="247" spans="1:16" s="115" customFormat="1" ht="15" customHeight="1">
      <c r="A247" s="14" t="s">
        <v>329</v>
      </c>
      <c r="B247" s="446" t="s">
        <v>330</v>
      </c>
      <c r="C247" s="446" t="s">
        <v>53</v>
      </c>
      <c r="D247" s="447">
        <v>41326</v>
      </c>
      <c r="E247" s="448">
        <v>18750</v>
      </c>
      <c r="F247" s="449">
        <v>1.65</v>
      </c>
      <c r="G247" s="450">
        <f t="shared" si="46"/>
        <v>30937.5</v>
      </c>
      <c r="H247" s="451"/>
      <c r="I247" s="534">
        <v>41332</v>
      </c>
      <c r="J247" s="449">
        <v>1.57</v>
      </c>
      <c r="K247" s="453">
        <f t="shared" si="47"/>
        <v>29437.5</v>
      </c>
      <c r="L247" s="454">
        <f t="shared" si="45"/>
        <v>-1500</v>
      </c>
      <c r="M247" s="429">
        <v>1.02277</v>
      </c>
      <c r="N247" s="455">
        <f t="shared" si="48"/>
        <v>-1534.155</v>
      </c>
      <c r="O247" s="366"/>
      <c r="P247" s="121"/>
    </row>
    <row r="248" spans="1:16" s="117" customFormat="1" ht="15" customHeight="1">
      <c r="A248" s="456" t="s">
        <v>973</v>
      </c>
      <c r="B248" s="457" t="s">
        <v>974</v>
      </c>
      <c r="C248" s="457" t="s">
        <v>78</v>
      </c>
      <c r="D248" s="458">
        <v>41317</v>
      </c>
      <c r="E248" s="459">
        <v>10000</v>
      </c>
      <c r="F248" s="460">
        <v>0.73299999999999998</v>
      </c>
      <c r="G248" s="461">
        <f t="shared" si="46"/>
        <v>7330</v>
      </c>
      <c r="H248" s="462"/>
      <c r="I248" s="458">
        <v>41344</v>
      </c>
      <c r="J248" s="460">
        <v>0.72699999999999998</v>
      </c>
      <c r="K248" s="464">
        <f t="shared" si="47"/>
        <v>7270</v>
      </c>
      <c r="L248" s="465">
        <f>SUM(G248-K248)</f>
        <v>60</v>
      </c>
      <c r="M248" s="466">
        <v>1.0202899999999999</v>
      </c>
      <c r="N248" s="455">
        <f t="shared" si="48"/>
        <v>61.217399999999998</v>
      </c>
      <c r="O248" s="365"/>
      <c r="P248" s="122"/>
    </row>
    <row r="249" spans="1:16" s="115" customFormat="1" ht="15" customHeight="1">
      <c r="A249" s="14" t="s">
        <v>1008</v>
      </c>
      <c r="B249" s="446" t="s">
        <v>1009</v>
      </c>
      <c r="C249" s="446" t="s">
        <v>53</v>
      </c>
      <c r="D249" s="447">
        <v>41324</v>
      </c>
      <c r="E249" s="448">
        <v>3061</v>
      </c>
      <c r="F249" s="449">
        <v>7.06</v>
      </c>
      <c r="G249" s="450">
        <f t="shared" si="46"/>
        <v>21610.66</v>
      </c>
      <c r="H249" s="451"/>
      <c r="I249" s="534">
        <v>41345</v>
      </c>
      <c r="J249" s="449">
        <v>6.57</v>
      </c>
      <c r="K249" s="453">
        <f t="shared" si="47"/>
        <v>20110.77</v>
      </c>
      <c r="L249" s="454">
        <f>SUM(K249-G249)</f>
        <v>-1499.8899999999994</v>
      </c>
      <c r="M249" s="429">
        <v>1.0279799999999999</v>
      </c>
      <c r="N249" s="455">
        <f t="shared" si="48"/>
        <v>-1541.8569221999992</v>
      </c>
      <c r="O249" s="366"/>
      <c r="P249" s="121"/>
    </row>
    <row r="250" spans="1:16" s="117" customFormat="1" ht="15" customHeight="1">
      <c r="A250" s="446" t="s">
        <v>842</v>
      </c>
      <c r="B250" s="446" t="s">
        <v>843</v>
      </c>
      <c r="C250" s="446" t="s">
        <v>53</v>
      </c>
      <c r="D250" s="447">
        <v>41109</v>
      </c>
      <c r="E250" s="448">
        <v>2343</v>
      </c>
      <c r="F250" s="449">
        <v>27.62</v>
      </c>
      <c r="G250" s="450">
        <f t="shared" si="46"/>
        <v>64713.66</v>
      </c>
      <c r="H250" s="462"/>
      <c r="I250" s="534">
        <v>41351</v>
      </c>
      <c r="J250" s="449">
        <v>34.1</v>
      </c>
      <c r="K250" s="453">
        <f t="shared" si="47"/>
        <v>79896.3</v>
      </c>
      <c r="L250" s="454">
        <f>SUM(K250-G250)</f>
        <v>15182.64</v>
      </c>
      <c r="M250" s="429">
        <v>1.0352300000000001</v>
      </c>
      <c r="N250" s="455">
        <f t="shared" si="48"/>
        <v>15717.5244072</v>
      </c>
      <c r="O250" s="365"/>
      <c r="P250" s="122"/>
    </row>
    <row r="251" spans="1:16" s="115" customFormat="1" ht="15" customHeight="1">
      <c r="A251" s="14" t="s">
        <v>955</v>
      </c>
      <c r="B251" s="446" t="s">
        <v>956</v>
      </c>
      <c r="C251" s="446" t="s">
        <v>53</v>
      </c>
      <c r="D251" s="447">
        <v>41313</v>
      </c>
      <c r="E251" s="448">
        <v>8333</v>
      </c>
      <c r="F251" s="449">
        <v>4.99</v>
      </c>
      <c r="G251" s="450">
        <f t="shared" si="46"/>
        <v>41581.67</v>
      </c>
      <c r="H251" s="451"/>
      <c r="I251" s="534">
        <v>41352</v>
      </c>
      <c r="J251" s="449">
        <v>5.3209999999999997</v>
      </c>
      <c r="K251" s="453">
        <f t="shared" si="47"/>
        <v>44339.892999999996</v>
      </c>
      <c r="L251" s="454">
        <f>SUM(K251-G251)</f>
        <v>2758.2229999999981</v>
      </c>
      <c r="M251" s="429">
        <v>1.0400700000000001</v>
      </c>
      <c r="N251" s="455">
        <f t="shared" si="48"/>
        <v>2868.7449956099981</v>
      </c>
      <c r="O251" s="366"/>
      <c r="P251" s="121"/>
    </row>
    <row r="252" spans="1:16" s="117" customFormat="1" ht="15" customHeight="1">
      <c r="A252" s="446" t="s">
        <v>401</v>
      </c>
      <c r="B252" s="446" t="s">
        <v>402</v>
      </c>
      <c r="C252" s="446" t="s">
        <v>53</v>
      </c>
      <c r="D252" s="447">
        <v>41246</v>
      </c>
      <c r="E252" s="448">
        <v>1470</v>
      </c>
      <c r="F252" s="449">
        <v>32.25</v>
      </c>
      <c r="G252" s="450">
        <f t="shared" si="46"/>
        <v>47407.5</v>
      </c>
      <c r="H252" s="462"/>
      <c r="I252" s="534">
        <v>41353</v>
      </c>
      <c r="J252" s="449">
        <v>36.68</v>
      </c>
      <c r="K252" s="453">
        <f t="shared" si="47"/>
        <v>53919.6</v>
      </c>
      <c r="L252" s="454">
        <f>SUM(K252-G252)</f>
        <v>6512.0999999999985</v>
      </c>
      <c r="M252" s="429">
        <v>1.0368599999999999</v>
      </c>
      <c r="N252" s="455">
        <f t="shared" si="48"/>
        <v>6752.1360059999979</v>
      </c>
      <c r="O252" s="365"/>
      <c r="P252" s="122"/>
    </row>
    <row r="253" spans="1:16" s="115" customFormat="1" ht="15" customHeight="1">
      <c r="A253" s="14" t="s">
        <v>244</v>
      </c>
      <c r="B253" s="446" t="s">
        <v>245</v>
      </c>
      <c r="C253" s="446" t="s">
        <v>53</v>
      </c>
      <c r="D253" s="447">
        <v>41320</v>
      </c>
      <c r="E253" s="448">
        <v>1363</v>
      </c>
      <c r="F253" s="449">
        <v>36.69</v>
      </c>
      <c r="G253" s="450">
        <f t="shared" ref="G253:G262" si="49">SUM(E253*F253)</f>
        <v>50008.469999999994</v>
      </c>
      <c r="H253" s="451"/>
      <c r="I253" s="534">
        <v>41368</v>
      </c>
      <c r="J253" s="449">
        <v>35.590000000000003</v>
      </c>
      <c r="K253" s="453">
        <f t="shared" ref="K253:K270" si="50">SUM(E253*J253)</f>
        <v>48509.170000000006</v>
      </c>
      <c r="L253" s="454">
        <f>SUM(K253-G253)</f>
        <v>-1499.2999999999884</v>
      </c>
      <c r="M253" s="429">
        <v>1.046</v>
      </c>
      <c r="N253" s="455">
        <f>SUM(L253*M253)</f>
        <v>-1568.2677999999878</v>
      </c>
      <c r="O253" s="366"/>
      <c r="P253" s="121"/>
    </row>
    <row r="254" spans="1:16" s="115" customFormat="1" ht="15" customHeight="1">
      <c r="A254" s="14" t="s">
        <v>926</v>
      </c>
      <c r="B254" s="446" t="s">
        <v>927</v>
      </c>
      <c r="C254" s="446"/>
      <c r="D254" s="447">
        <v>41368</v>
      </c>
      <c r="E254" s="448">
        <v>12500</v>
      </c>
      <c r="F254" s="449">
        <v>0.09</v>
      </c>
      <c r="G254" s="450">
        <f t="shared" si="49"/>
        <v>1125</v>
      </c>
      <c r="H254" s="451"/>
      <c r="I254" s="534">
        <v>41376</v>
      </c>
      <c r="J254" s="449">
        <v>0</v>
      </c>
      <c r="K254" s="453">
        <f t="shared" si="50"/>
        <v>0</v>
      </c>
      <c r="L254" s="454">
        <f>G254</f>
        <v>1125</v>
      </c>
      <c r="M254" s="429">
        <v>1.05433</v>
      </c>
      <c r="N254" s="455">
        <f>L254</f>
        <v>1125</v>
      </c>
      <c r="O254" s="366" t="s">
        <v>1139</v>
      </c>
      <c r="P254" s="121"/>
    </row>
    <row r="255" spans="1:16" s="115" customFormat="1" ht="15" customHeight="1">
      <c r="A255" s="14" t="s">
        <v>926</v>
      </c>
      <c r="B255" s="446" t="s">
        <v>927</v>
      </c>
      <c r="C255" s="446" t="s">
        <v>53</v>
      </c>
      <c r="D255" s="447">
        <v>41362</v>
      </c>
      <c r="E255" s="448">
        <v>12500</v>
      </c>
      <c r="F255" s="449">
        <v>0.52500000000000002</v>
      </c>
      <c r="G255" s="450">
        <f t="shared" si="49"/>
        <v>6562.5</v>
      </c>
      <c r="H255" s="451"/>
      <c r="I255" s="534">
        <v>41376</v>
      </c>
      <c r="J255" s="449">
        <v>0.60680000000000001</v>
      </c>
      <c r="K255" s="453">
        <f t="shared" si="50"/>
        <v>7585</v>
      </c>
      <c r="L255" s="454">
        <f>SUM(K255-G255)</f>
        <v>1022.5</v>
      </c>
      <c r="M255" s="429">
        <v>1.05433</v>
      </c>
      <c r="N255" s="430">
        <f t="shared" ref="N255:N272" si="51">SUM(L255*M255)</f>
        <v>1078.0524250000001</v>
      </c>
      <c r="O255" s="366"/>
      <c r="P255" s="121"/>
    </row>
    <row r="256" spans="1:16" s="115" customFormat="1" ht="15" customHeight="1">
      <c r="A256" s="14" t="s">
        <v>228</v>
      </c>
      <c r="B256" s="446" t="s">
        <v>229</v>
      </c>
      <c r="C256" s="446" t="s">
        <v>53</v>
      </c>
      <c r="D256" s="447">
        <v>41348</v>
      </c>
      <c r="E256" s="448">
        <v>6000</v>
      </c>
      <c r="F256" s="449">
        <v>5.33</v>
      </c>
      <c r="G256" s="450">
        <f t="shared" si="49"/>
        <v>31980</v>
      </c>
      <c r="H256" s="451"/>
      <c r="I256" s="534">
        <v>41381</v>
      </c>
      <c r="J256" s="449">
        <v>5.3419999999999996</v>
      </c>
      <c r="K256" s="453">
        <f t="shared" si="50"/>
        <v>32051.999999999996</v>
      </c>
      <c r="L256" s="454">
        <f>SUM(K256-G256)</f>
        <v>71.999999999996362</v>
      </c>
      <c r="M256" s="429">
        <v>1.03891</v>
      </c>
      <c r="N256" s="455">
        <f t="shared" si="51"/>
        <v>74.801519999996216</v>
      </c>
      <c r="O256" s="366"/>
      <c r="P256" s="121"/>
    </row>
    <row r="257" spans="1:21" s="117" customFormat="1" ht="15" customHeight="1">
      <c r="A257" s="456" t="s">
        <v>1110</v>
      </c>
      <c r="B257" s="457" t="s">
        <v>1111</v>
      </c>
      <c r="C257" s="457" t="s">
        <v>78</v>
      </c>
      <c r="D257" s="458">
        <v>41355</v>
      </c>
      <c r="E257" s="459">
        <v>469</v>
      </c>
      <c r="F257" s="460">
        <v>67.099999999999994</v>
      </c>
      <c r="G257" s="461">
        <f t="shared" si="49"/>
        <v>31469.899999999998</v>
      </c>
      <c r="H257" s="462"/>
      <c r="I257" s="458">
        <v>41388</v>
      </c>
      <c r="J257" s="460">
        <v>66</v>
      </c>
      <c r="K257" s="464">
        <f t="shared" si="50"/>
        <v>30954</v>
      </c>
      <c r="L257" s="465">
        <f>SUM(G257-K257)</f>
        <v>515.89999999999782</v>
      </c>
      <c r="M257" s="466">
        <v>1.02583</v>
      </c>
      <c r="N257" s="467">
        <f t="shared" si="51"/>
        <v>529.22569699999781</v>
      </c>
      <c r="O257" s="365"/>
      <c r="P257" s="122"/>
    </row>
    <row r="258" spans="1:21" s="117" customFormat="1" ht="15" customHeight="1">
      <c r="A258" s="446" t="s">
        <v>840</v>
      </c>
      <c r="B258" s="446" t="s">
        <v>841</v>
      </c>
      <c r="C258" s="446" t="s">
        <v>53</v>
      </c>
      <c r="D258" s="447">
        <v>41066</v>
      </c>
      <c r="E258" s="448">
        <v>974</v>
      </c>
      <c r="F258" s="449">
        <v>38.74</v>
      </c>
      <c r="G258" s="450">
        <f t="shared" si="49"/>
        <v>37732.76</v>
      </c>
      <c r="H258" s="462"/>
      <c r="I258" s="458">
        <v>41432</v>
      </c>
      <c r="J258" s="446">
        <v>57.82</v>
      </c>
      <c r="K258" s="453">
        <f t="shared" si="50"/>
        <v>56316.68</v>
      </c>
      <c r="L258" s="454">
        <f>SUM(K258-G258)</f>
        <v>18583.919999999998</v>
      </c>
      <c r="M258" s="429">
        <v>0.95945999999999998</v>
      </c>
      <c r="N258" s="455">
        <f t="shared" si="51"/>
        <v>17830.527883199997</v>
      </c>
      <c r="O258" s="365"/>
      <c r="P258" s="122"/>
    </row>
    <row r="259" spans="1:21" s="117" customFormat="1" ht="15" customHeight="1">
      <c r="A259" s="446" t="s">
        <v>844</v>
      </c>
      <c r="B259" s="446" t="s">
        <v>452</v>
      </c>
      <c r="C259" s="446" t="s">
        <v>53</v>
      </c>
      <c r="D259" s="447">
        <v>41218</v>
      </c>
      <c r="E259" s="448">
        <v>1020</v>
      </c>
      <c r="F259" s="449">
        <v>28.69</v>
      </c>
      <c r="G259" s="450">
        <f t="shared" si="49"/>
        <v>29263.800000000003</v>
      </c>
      <c r="H259" s="462"/>
      <c r="I259" s="458">
        <v>41432</v>
      </c>
      <c r="J259" s="446">
        <v>38.96</v>
      </c>
      <c r="K259" s="453">
        <f t="shared" si="50"/>
        <v>39739.200000000004</v>
      </c>
      <c r="L259" s="454">
        <f>SUM(K259-G259)</f>
        <v>10475.400000000001</v>
      </c>
      <c r="M259" s="429">
        <v>0.95945999999999998</v>
      </c>
      <c r="N259" s="455">
        <f t="shared" si="51"/>
        <v>10050.727284000001</v>
      </c>
      <c r="O259" s="365"/>
      <c r="P259" s="122"/>
    </row>
    <row r="260" spans="1:21" s="117" customFormat="1" ht="15" customHeight="1">
      <c r="A260" s="446" t="s">
        <v>432</v>
      </c>
      <c r="B260" s="446" t="s">
        <v>433</v>
      </c>
      <c r="C260" s="446" t="s">
        <v>53</v>
      </c>
      <c r="D260" s="447">
        <v>41221</v>
      </c>
      <c r="E260" s="448">
        <v>1042</v>
      </c>
      <c r="F260" s="449">
        <v>58.77</v>
      </c>
      <c r="G260" s="450">
        <f t="shared" si="49"/>
        <v>61238.340000000004</v>
      </c>
      <c r="H260" s="462"/>
      <c r="I260" s="458">
        <v>41418</v>
      </c>
      <c r="J260" s="446">
        <v>68.86</v>
      </c>
      <c r="K260" s="453">
        <f t="shared" si="50"/>
        <v>71752.12</v>
      </c>
      <c r="L260" s="454">
        <f>SUM(K260-G260)</f>
        <v>10513.779999999992</v>
      </c>
      <c r="M260" s="429">
        <v>0.97467000000000004</v>
      </c>
      <c r="N260" s="455">
        <f t="shared" si="51"/>
        <v>10247.465952599992</v>
      </c>
      <c r="O260" s="365"/>
      <c r="P260" s="122"/>
    </row>
    <row r="261" spans="1:21" s="115" customFormat="1" ht="15" customHeight="1">
      <c r="A261" s="14" t="s">
        <v>280</v>
      </c>
      <c r="B261" s="446" t="s">
        <v>11</v>
      </c>
      <c r="C261" s="446" t="s">
        <v>53</v>
      </c>
      <c r="D261" s="447">
        <v>41313</v>
      </c>
      <c r="E261" s="448">
        <v>12500</v>
      </c>
      <c r="F261" s="449">
        <v>3.18</v>
      </c>
      <c r="G261" s="450">
        <f t="shared" si="49"/>
        <v>39750</v>
      </c>
      <c r="H261" s="451"/>
      <c r="I261" s="458">
        <v>41418</v>
      </c>
      <c r="J261" s="446">
        <v>3.4449999999999998</v>
      </c>
      <c r="K261" s="453">
        <f t="shared" si="50"/>
        <v>43062.5</v>
      </c>
      <c r="L261" s="454">
        <f>SUM(K261-G261)</f>
        <v>3312.5</v>
      </c>
      <c r="M261" s="429">
        <v>0.97467000000000004</v>
      </c>
      <c r="N261" s="455">
        <f t="shared" si="51"/>
        <v>3228.5943750000001</v>
      </c>
      <c r="O261" s="366"/>
      <c r="P261" s="121"/>
    </row>
    <row r="262" spans="1:21" s="115" customFormat="1" ht="15" customHeight="1">
      <c r="A262" s="14" t="s">
        <v>198</v>
      </c>
      <c r="B262" s="446" t="s">
        <v>155</v>
      </c>
      <c r="C262" s="446" t="s">
        <v>53</v>
      </c>
      <c r="D262" s="447">
        <v>41369</v>
      </c>
      <c r="E262" s="448">
        <v>12500</v>
      </c>
      <c r="F262" s="449">
        <v>3.6</v>
      </c>
      <c r="G262" s="450">
        <f t="shared" si="49"/>
        <v>45000</v>
      </c>
      <c r="H262" s="451"/>
      <c r="I262" s="458">
        <v>41422</v>
      </c>
      <c r="J262" s="446">
        <v>3.4</v>
      </c>
      <c r="K262" s="453">
        <f t="shared" si="50"/>
        <v>42500</v>
      </c>
      <c r="L262" s="454">
        <f>SUM(K262-G262)</f>
        <v>-2500</v>
      </c>
      <c r="M262" s="429">
        <v>0.96318000000000004</v>
      </c>
      <c r="N262" s="455">
        <f t="shared" si="51"/>
        <v>-2407.9500000000003</v>
      </c>
      <c r="O262" s="366"/>
      <c r="P262" s="121"/>
    </row>
    <row r="263" spans="1:21" s="117" customFormat="1" ht="15" customHeight="1">
      <c r="A263" s="446" t="s">
        <v>145</v>
      </c>
      <c r="B263" s="446" t="s">
        <v>309</v>
      </c>
      <c r="C263" s="446" t="s">
        <v>78</v>
      </c>
      <c r="D263" s="535">
        <v>41401</v>
      </c>
      <c r="E263" s="536">
        <v>7117</v>
      </c>
      <c r="F263" s="449">
        <v>1.577</v>
      </c>
      <c r="G263" s="450">
        <f t="shared" ref="G263:G268" si="52">SUM(E263*F263)</f>
        <v>11223.509</v>
      </c>
      <c r="H263" s="449"/>
      <c r="I263" s="535">
        <v>41466</v>
      </c>
      <c r="J263" s="446">
        <v>1.19</v>
      </c>
      <c r="K263" s="464">
        <f t="shared" si="50"/>
        <v>8469.23</v>
      </c>
      <c r="L263" s="465">
        <f>SUM(G263-K263)</f>
        <v>2754.2790000000005</v>
      </c>
      <c r="M263" s="466">
        <v>0.91752</v>
      </c>
      <c r="N263" s="467">
        <f t="shared" si="51"/>
        <v>2527.1060680800006</v>
      </c>
      <c r="O263" s="367"/>
      <c r="P263" s="326" t="s">
        <v>3</v>
      </c>
      <c r="Q263" s="322"/>
      <c r="R263" s="322"/>
      <c r="S263" s="322"/>
      <c r="T263" s="322"/>
      <c r="U263" s="322"/>
    </row>
    <row r="264" spans="1:21" s="117" customFormat="1" ht="15" customHeight="1">
      <c r="A264" s="446" t="s">
        <v>1242</v>
      </c>
      <c r="B264" s="446" t="s">
        <v>1243</v>
      </c>
      <c r="C264" s="446" t="s">
        <v>78</v>
      </c>
      <c r="D264" s="535">
        <v>41418</v>
      </c>
      <c r="E264" s="537">
        <v>11634</v>
      </c>
      <c r="F264" s="449">
        <v>1.135</v>
      </c>
      <c r="G264" s="450">
        <f t="shared" si="52"/>
        <v>13204.59</v>
      </c>
      <c r="H264" s="449"/>
      <c r="I264" s="535">
        <v>41466</v>
      </c>
      <c r="J264" s="446">
        <v>0.98899999999999999</v>
      </c>
      <c r="K264" s="464">
        <f t="shared" si="50"/>
        <v>11506.026</v>
      </c>
      <c r="L264" s="465">
        <f>SUM(G264-K264)</f>
        <v>1698.5640000000003</v>
      </c>
      <c r="M264" s="466">
        <v>0.91752</v>
      </c>
      <c r="N264" s="467">
        <f t="shared" si="51"/>
        <v>1558.4664412800003</v>
      </c>
      <c r="O264" s="367"/>
      <c r="P264" s="326" t="s">
        <v>3</v>
      </c>
      <c r="Q264" s="322"/>
      <c r="R264" s="322"/>
      <c r="S264" s="322"/>
      <c r="T264" s="322"/>
      <c r="U264" s="322"/>
    </row>
    <row r="265" spans="1:21" s="117" customFormat="1" ht="15" customHeight="1">
      <c r="A265" s="446" t="s">
        <v>1244</v>
      </c>
      <c r="B265" s="446" t="s">
        <v>294</v>
      </c>
      <c r="C265" s="446" t="s">
        <v>53</v>
      </c>
      <c r="D265" s="535">
        <v>41421</v>
      </c>
      <c r="E265" s="537">
        <v>5500</v>
      </c>
      <c r="F265" s="449">
        <v>5.35</v>
      </c>
      <c r="G265" s="450">
        <f t="shared" si="52"/>
        <v>29424.999999999996</v>
      </c>
      <c r="H265" s="449"/>
      <c r="I265" s="535">
        <v>41428</v>
      </c>
      <c r="J265" s="446">
        <v>4.91</v>
      </c>
      <c r="K265" s="453">
        <f t="shared" si="50"/>
        <v>27005</v>
      </c>
      <c r="L265" s="454">
        <f>SUM(K265-G265)</f>
        <v>-2419.9999999999964</v>
      </c>
      <c r="M265" s="429">
        <v>0.96060999999999996</v>
      </c>
      <c r="N265" s="455">
        <f t="shared" si="51"/>
        <v>-2324.6761999999962</v>
      </c>
      <c r="O265" s="367"/>
      <c r="P265" s="326" t="s">
        <v>3</v>
      </c>
      <c r="Q265" s="322"/>
      <c r="R265" s="322"/>
      <c r="S265" s="322"/>
      <c r="T265" s="322"/>
      <c r="U265" s="322"/>
    </row>
    <row r="266" spans="1:21" s="117" customFormat="1" ht="15" customHeight="1">
      <c r="A266" s="446" t="s">
        <v>1245</v>
      </c>
      <c r="B266" s="446" t="s">
        <v>406</v>
      </c>
      <c r="C266" s="446" t="s">
        <v>78</v>
      </c>
      <c r="D266" s="535">
        <v>41435</v>
      </c>
      <c r="E266" s="537">
        <v>3967</v>
      </c>
      <c r="F266" s="449">
        <v>12.414999999999999</v>
      </c>
      <c r="G266" s="450">
        <f t="shared" si="52"/>
        <v>49250.304999999993</v>
      </c>
      <c r="H266" s="449"/>
      <c r="I266" s="535">
        <v>41473</v>
      </c>
      <c r="J266" s="446">
        <v>13.025</v>
      </c>
      <c r="K266" s="464">
        <f t="shared" si="50"/>
        <v>51670.175000000003</v>
      </c>
      <c r="L266" s="465">
        <f>SUM(G266-K266)</f>
        <v>-2419.8700000000099</v>
      </c>
      <c r="M266" s="466">
        <v>0.95450000000000002</v>
      </c>
      <c r="N266" s="467">
        <f t="shared" si="51"/>
        <v>-2309.7659150000095</v>
      </c>
      <c r="O266" s="367"/>
      <c r="P266" s="326" t="s">
        <v>3</v>
      </c>
      <c r="Q266" s="322"/>
      <c r="R266" s="322"/>
      <c r="S266" s="322"/>
      <c r="T266" s="322"/>
      <c r="U266" s="322"/>
    </row>
    <row r="267" spans="1:21" s="117" customFormat="1" ht="15" customHeight="1">
      <c r="A267" s="446" t="s">
        <v>280</v>
      </c>
      <c r="B267" s="446" t="s">
        <v>11</v>
      </c>
      <c r="C267" s="446" t="s">
        <v>78</v>
      </c>
      <c r="D267" s="535">
        <v>41450</v>
      </c>
      <c r="E267" s="537">
        <v>16133</v>
      </c>
      <c r="F267" s="449">
        <v>3.14</v>
      </c>
      <c r="G267" s="450">
        <f t="shared" si="52"/>
        <v>50657.62</v>
      </c>
      <c r="H267" s="449"/>
      <c r="I267" s="538">
        <v>41464</v>
      </c>
      <c r="J267" s="446">
        <v>3.26</v>
      </c>
      <c r="K267" s="464">
        <f t="shared" si="50"/>
        <v>52593.579999999994</v>
      </c>
      <c r="L267" s="465">
        <f>SUM(G267-K267)</f>
        <v>-1935.9599999999919</v>
      </c>
      <c r="M267" s="466">
        <v>0.91307000000000005</v>
      </c>
      <c r="N267" s="467">
        <f t="shared" si="51"/>
        <v>-1767.6669971999927</v>
      </c>
      <c r="O267" s="367"/>
      <c r="P267" s="326" t="s">
        <v>3</v>
      </c>
      <c r="Q267" s="322"/>
      <c r="R267" s="322"/>
      <c r="S267" s="322"/>
      <c r="T267" s="322"/>
      <c r="U267" s="322"/>
    </row>
    <row r="268" spans="1:21" s="117" customFormat="1" ht="15" customHeight="1">
      <c r="A268" s="446" t="s">
        <v>352</v>
      </c>
      <c r="B268" s="446" t="s">
        <v>219</v>
      </c>
      <c r="C268" s="446" t="s">
        <v>53</v>
      </c>
      <c r="D268" s="535">
        <v>41452</v>
      </c>
      <c r="E268" s="537">
        <v>17285</v>
      </c>
      <c r="F268" s="449">
        <v>2.2599999999999998</v>
      </c>
      <c r="G268" s="450">
        <f t="shared" si="52"/>
        <v>39064.1</v>
      </c>
      <c r="H268" s="449"/>
      <c r="I268" s="535">
        <v>41456</v>
      </c>
      <c r="J268" s="539">
        <v>2.1139999999999999</v>
      </c>
      <c r="K268" s="453">
        <f t="shared" si="50"/>
        <v>36540.49</v>
      </c>
      <c r="L268" s="454">
        <f>SUM(K268-G268)</f>
        <v>-2523.6100000000006</v>
      </c>
      <c r="M268" s="429">
        <v>0.91132000000000002</v>
      </c>
      <c r="N268" s="455">
        <f t="shared" si="51"/>
        <v>-2299.8162652000005</v>
      </c>
      <c r="O268" s="365"/>
      <c r="P268" s="326" t="s">
        <v>3</v>
      </c>
    </row>
    <row r="269" spans="1:21" s="117" customFormat="1" ht="15" customHeight="1">
      <c r="A269" s="446" t="s">
        <v>1241</v>
      </c>
      <c r="B269" s="457" t="s">
        <v>200</v>
      </c>
      <c r="C269" s="457" t="s">
        <v>78</v>
      </c>
      <c r="D269" s="458">
        <v>41495</v>
      </c>
      <c r="E269" s="540">
        <v>8344</v>
      </c>
      <c r="F269" s="460">
        <v>4.2759999999999998</v>
      </c>
      <c r="G269" s="461">
        <f>SUM(E269*F269)</f>
        <v>35678.943999999996</v>
      </c>
      <c r="H269" s="462"/>
      <c r="I269" s="535">
        <v>41501</v>
      </c>
      <c r="J269" s="460">
        <v>4.5659999999999998</v>
      </c>
      <c r="K269" s="464">
        <f t="shared" si="50"/>
        <v>38098.703999999998</v>
      </c>
      <c r="L269" s="465">
        <f>SUM(G269-K269)</f>
        <v>-2419.760000000002</v>
      </c>
      <c r="M269" s="466">
        <v>0.91207000000000005</v>
      </c>
      <c r="N269" s="467">
        <f t="shared" si="51"/>
        <v>-2206.990503200002</v>
      </c>
      <c r="O269" s="365"/>
      <c r="P269" s="122"/>
    </row>
    <row r="270" spans="1:21" s="115" customFormat="1" ht="15" customHeight="1">
      <c r="A270" s="446" t="s">
        <v>1240</v>
      </c>
      <c r="B270" s="446" t="s">
        <v>6</v>
      </c>
      <c r="C270" s="446" t="s">
        <v>53</v>
      </c>
      <c r="D270" s="535">
        <v>41492</v>
      </c>
      <c r="E270" s="537">
        <v>1728</v>
      </c>
      <c r="F270" s="449">
        <v>36.01</v>
      </c>
      <c r="G270" s="450">
        <f>SUM(E270*F270)</f>
        <v>62225.279999999999</v>
      </c>
      <c r="H270" s="449"/>
      <c r="I270" s="535">
        <v>41519</v>
      </c>
      <c r="J270" s="539">
        <v>34.72</v>
      </c>
      <c r="K270" s="453">
        <f t="shared" si="50"/>
        <v>59996.159999999996</v>
      </c>
      <c r="L270" s="454">
        <f>SUM(K270-G270)</f>
        <v>-2229.1200000000026</v>
      </c>
      <c r="M270" s="429">
        <v>0.89429000000000003</v>
      </c>
      <c r="N270" s="455">
        <f t="shared" si="51"/>
        <v>-1993.4797248000025</v>
      </c>
      <c r="O270" s="366"/>
      <c r="P270" s="121"/>
    </row>
    <row r="271" spans="1:21" s="115" customFormat="1" ht="15" customHeight="1">
      <c r="A271" s="14" t="s">
        <v>1299</v>
      </c>
      <c r="B271" s="446" t="s">
        <v>249</v>
      </c>
      <c r="C271" s="446" t="s">
        <v>53</v>
      </c>
      <c r="D271" s="447">
        <v>41512</v>
      </c>
      <c r="E271" s="448">
        <v>28651</v>
      </c>
      <c r="F271" s="449">
        <v>1.407</v>
      </c>
      <c r="G271" s="450">
        <f t="shared" ref="G271:G277" si="53">SUM(E271*F271)</f>
        <v>40311.957000000002</v>
      </c>
      <c r="H271" s="451"/>
      <c r="I271" s="534">
        <v>41535</v>
      </c>
      <c r="J271" s="449">
        <v>1.3169999999999999</v>
      </c>
      <c r="K271" s="453">
        <f t="shared" ref="K271:K277" si="54">SUM(E271*J271)</f>
        <v>37733.366999999998</v>
      </c>
      <c r="L271" s="454">
        <f t="shared" ref="L271:L277" si="55">SUM(K271-G271)</f>
        <v>-2578.5900000000038</v>
      </c>
      <c r="M271" s="429">
        <v>0.93530000000000002</v>
      </c>
      <c r="N271" s="455">
        <f t="shared" si="51"/>
        <v>-2411.7552270000037</v>
      </c>
      <c r="O271" s="366"/>
      <c r="P271" s="121"/>
    </row>
    <row r="272" spans="1:21" s="115" customFormat="1" ht="15" customHeight="1">
      <c r="A272" s="14" t="s">
        <v>1361</v>
      </c>
      <c r="B272" s="446" t="s">
        <v>1362</v>
      </c>
      <c r="C272" s="446" t="s">
        <v>53</v>
      </c>
      <c r="D272" s="447">
        <v>41541</v>
      </c>
      <c r="E272" s="448">
        <v>3256</v>
      </c>
      <c r="F272" s="449">
        <v>13.78</v>
      </c>
      <c r="G272" s="450">
        <f t="shared" si="53"/>
        <v>44867.68</v>
      </c>
      <c r="H272" s="451"/>
      <c r="I272" s="534">
        <v>41548</v>
      </c>
      <c r="J272" s="449">
        <v>13.02</v>
      </c>
      <c r="K272" s="453">
        <f t="shared" si="54"/>
        <v>42393.119999999995</v>
      </c>
      <c r="L272" s="454">
        <f t="shared" si="55"/>
        <v>-2474.5600000000049</v>
      </c>
      <c r="M272" s="429">
        <v>0.93147999999999997</v>
      </c>
      <c r="N272" s="455">
        <f t="shared" si="51"/>
        <v>-2305.0031488000045</v>
      </c>
      <c r="O272" s="366"/>
      <c r="P272" s="121"/>
    </row>
    <row r="273" spans="1:16" s="115" customFormat="1" ht="15" customHeight="1">
      <c r="A273" s="14" t="s">
        <v>1331</v>
      </c>
      <c r="B273" s="446" t="s">
        <v>233</v>
      </c>
      <c r="C273" s="446" t="s">
        <v>53</v>
      </c>
      <c r="D273" s="447">
        <v>41530</v>
      </c>
      <c r="E273" s="448">
        <v>9407</v>
      </c>
      <c r="F273" s="449">
        <v>5.67</v>
      </c>
      <c r="G273" s="450">
        <f t="shared" si="53"/>
        <v>53337.69</v>
      </c>
      <c r="H273" s="451"/>
      <c r="I273" s="534">
        <v>41572</v>
      </c>
      <c r="J273" s="449">
        <v>5.39</v>
      </c>
      <c r="K273" s="453">
        <f t="shared" si="54"/>
        <v>50703.729999999996</v>
      </c>
      <c r="L273" s="454">
        <f t="shared" si="55"/>
        <v>-2633.9600000000064</v>
      </c>
      <c r="M273" s="429">
        <v>0.96220000000000006</v>
      </c>
      <c r="N273" s="455">
        <f t="shared" ref="N273:N278" si="56">SUM(L273*M273)</f>
        <v>-2534.3963120000062</v>
      </c>
      <c r="O273" s="366"/>
      <c r="P273" s="121"/>
    </row>
    <row r="274" spans="1:16" s="117" customFormat="1" ht="15" customHeight="1">
      <c r="A274" s="14" t="s">
        <v>1430</v>
      </c>
      <c r="B274" s="446" t="s">
        <v>1429</v>
      </c>
      <c r="C274" s="446" t="s">
        <v>53</v>
      </c>
      <c r="D274" s="447">
        <v>41572</v>
      </c>
      <c r="E274" s="448">
        <v>4320</v>
      </c>
      <c r="F274" s="449">
        <v>14.86</v>
      </c>
      <c r="G274" s="450">
        <f t="shared" si="53"/>
        <v>64195.199999999997</v>
      </c>
      <c r="H274" s="451"/>
      <c r="I274" s="534">
        <v>41576</v>
      </c>
      <c r="J274" s="449">
        <v>14.22</v>
      </c>
      <c r="K274" s="453">
        <f t="shared" si="54"/>
        <v>61430.400000000001</v>
      </c>
      <c r="L274" s="454">
        <f t="shared" si="55"/>
        <v>-2764.7999999999956</v>
      </c>
      <c r="M274" s="429">
        <v>0.95720000000000005</v>
      </c>
      <c r="N274" s="455">
        <f t="shared" si="56"/>
        <v>-2646.4665599999958</v>
      </c>
      <c r="O274" s="365"/>
      <c r="P274" s="122"/>
    </row>
    <row r="275" spans="1:16" s="115" customFormat="1" ht="15" customHeight="1">
      <c r="A275" s="14" t="s">
        <v>955</v>
      </c>
      <c r="B275" s="506" t="s">
        <v>956</v>
      </c>
      <c r="C275" s="506" t="s">
        <v>53</v>
      </c>
      <c r="D275" s="507">
        <v>41500</v>
      </c>
      <c r="E275" s="508">
        <v>8272</v>
      </c>
      <c r="F275" s="509">
        <v>5.41</v>
      </c>
      <c r="G275" s="450">
        <f t="shared" si="53"/>
        <v>44751.520000000004</v>
      </c>
      <c r="H275" s="451"/>
      <c r="I275" s="543">
        <v>41584</v>
      </c>
      <c r="J275" s="509">
        <v>5.64</v>
      </c>
      <c r="K275" s="453">
        <f t="shared" si="54"/>
        <v>46654.079999999994</v>
      </c>
      <c r="L275" s="454">
        <f t="shared" si="55"/>
        <v>1902.5599999999904</v>
      </c>
      <c r="M275" s="429">
        <v>0.91113999999999995</v>
      </c>
      <c r="N275" s="455">
        <f t="shared" si="56"/>
        <v>1733.4985183999911</v>
      </c>
      <c r="O275" s="366"/>
      <c r="P275" s="121"/>
    </row>
    <row r="276" spans="1:16" s="115" customFormat="1" ht="15" customHeight="1">
      <c r="A276" s="14" t="s">
        <v>409</v>
      </c>
      <c r="B276" s="506" t="s">
        <v>410</v>
      </c>
      <c r="C276" s="506" t="s">
        <v>53</v>
      </c>
      <c r="D276" s="507">
        <v>41578</v>
      </c>
      <c r="E276" s="508">
        <v>10200</v>
      </c>
      <c r="F276" s="509">
        <v>5.08</v>
      </c>
      <c r="G276" s="450">
        <f t="shared" si="53"/>
        <v>51816</v>
      </c>
      <c r="H276" s="451"/>
      <c r="I276" s="543">
        <v>41584</v>
      </c>
      <c r="J276" s="509">
        <v>4.8</v>
      </c>
      <c r="K276" s="453">
        <f t="shared" si="54"/>
        <v>48960</v>
      </c>
      <c r="L276" s="454">
        <f t="shared" si="55"/>
        <v>-2856</v>
      </c>
      <c r="M276" s="429">
        <v>0.95420000000000005</v>
      </c>
      <c r="N276" s="455">
        <f t="shared" si="56"/>
        <v>-2725.1952000000001</v>
      </c>
      <c r="O276" s="366"/>
      <c r="P276" s="121"/>
    </row>
    <row r="277" spans="1:16" s="115" customFormat="1" ht="15" customHeight="1">
      <c r="A277" s="14" t="s">
        <v>1389</v>
      </c>
      <c r="B277" s="506" t="s">
        <v>179</v>
      </c>
      <c r="C277" s="506" t="s">
        <v>53</v>
      </c>
      <c r="D277" s="507">
        <v>41564</v>
      </c>
      <c r="E277" s="508">
        <v>8632</v>
      </c>
      <c r="F277" s="509">
        <v>5.0599999999999996</v>
      </c>
      <c r="G277" s="450">
        <f t="shared" si="53"/>
        <v>43677.919999999998</v>
      </c>
      <c r="H277" s="451"/>
      <c r="I277" s="543">
        <v>41586</v>
      </c>
      <c r="J277" s="509">
        <v>4.78</v>
      </c>
      <c r="K277" s="453">
        <f t="shared" si="54"/>
        <v>41260.959999999999</v>
      </c>
      <c r="L277" s="454">
        <f t="shared" si="55"/>
        <v>-2416.9599999999991</v>
      </c>
      <c r="M277" s="429">
        <v>0.95830000000000004</v>
      </c>
      <c r="N277" s="455">
        <f t="shared" si="56"/>
        <v>-2316.1727679999995</v>
      </c>
      <c r="O277" s="366"/>
      <c r="P277" s="121"/>
    </row>
    <row r="278" spans="1:16" s="115" customFormat="1" ht="15" customHeight="1">
      <c r="A278" s="14" t="s">
        <v>1329</v>
      </c>
      <c r="B278" s="506" t="s">
        <v>1330</v>
      </c>
      <c r="C278" s="506" t="s">
        <v>53</v>
      </c>
      <c r="D278" s="507">
        <v>41527</v>
      </c>
      <c r="E278" s="508">
        <v>1613</v>
      </c>
      <c r="F278" s="509">
        <v>32.229999999999997</v>
      </c>
      <c r="G278" s="450">
        <f t="shared" ref="G278:G285" si="57">SUM(E278*F278)</f>
        <v>51986.99</v>
      </c>
      <c r="H278" s="451"/>
      <c r="I278" s="543">
        <v>41591</v>
      </c>
      <c r="J278" s="509">
        <v>32.32</v>
      </c>
      <c r="K278" s="453">
        <f t="shared" ref="K278:K285" si="58">SUM(E278*J278)</f>
        <v>52132.160000000003</v>
      </c>
      <c r="L278" s="454">
        <f t="shared" ref="L278:L285" si="59">SUM(K278-G278)</f>
        <v>145.17000000000553</v>
      </c>
      <c r="M278" s="429">
        <v>0.92259999999999998</v>
      </c>
      <c r="N278" s="455">
        <f t="shared" si="56"/>
        <v>133.93384200000509</v>
      </c>
      <c r="O278" s="366"/>
      <c r="P278" s="121"/>
    </row>
    <row r="279" spans="1:16" s="115" customFormat="1" ht="15" customHeight="1">
      <c r="A279" s="14" t="s">
        <v>287</v>
      </c>
      <c r="B279" s="506" t="s">
        <v>288</v>
      </c>
      <c r="C279" s="506" t="s">
        <v>53</v>
      </c>
      <c r="D279" s="507">
        <v>41569</v>
      </c>
      <c r="E279" s="508">
        <v>11521</v>
      </c>
      <c r="F279" s="509">
        <v>5.13</v>
      </c>
      <c r="G279" s="450">
        <f t="shared" si="57"/>
        <v>59102.729999999996</v>
      </c>
      <c r="H279" s="451"/>
      <c r="I279" s="543">
        <v>41598</v>
      </c>
      <c r="J279" s="509">
        <v>4.8899999999999997</v>
      </c>
      <c r="K279" s="453">
        <f t="shared" si="58"/>
        <v>56337.689999999995</v>
      </c>
      <c r="L279" s="454">
        <f t="shared" si="59"/>
        <v>-2765.0400000000009</v>
      </c>
      <c r="M279" s="429">
        <v>0.95830000000000004</v>
      </c>
      <c r="N279" s="455">
        <f t="shared" ref="N279:N285" si="60">SUM(L279*M279)</f>
        <v>-2649.7378320000012</v>
      </c>
      <c r="O279" s="366"/>
      <c r="P279" s="121"/>
    </row>
    <row r="280" spans="1:16" s="115" customFormat="1" ht="15" customHeight="1">
      <c r="A280" s="14" t="s">
        <v>1317</v>
      </c>
      <c r="B280" s="506" t="s">
        <v>1318</v>
      </c>
      <c r="C280" s="506" t="s">
        <v>53</v>
      </c>
      <c r="D280" s="507">
        <v>41520</v>
      </c>
      <c r="E280" s="508">
        <v>5671</v>
      </c>
      <c r="F280" s="509">
        <v>8.49</v>
      </c>
      <c r="G280" s="450">
        <f t="shared" si="57"/>
        <v>48146.79</v>
      </c>
      <c r="H280" s="451"/>
      <c r="I280" s="543">
        <v>41606</v>
      </c>
      <c r="J280" s="509">
        <v>8.18</v>
      </c>
      <c r="K280" s="453">
        <f t="shared" si="58"/>
        <v>46388.78</v>
      </c>
      <c r="L280" s="454">
        <f t="shared" si="59"/>
        <v>-1758.010000000002</v>
      </c>
      <c r="M280" s="429">
        <v>0.89749999999999996</v>
      </c>
      <c r="N280" s="455">
        <f t="shared" si="60"/>
        <v>-1577.8139750000018</v>
      </c>
      <c r="O280" s="366"/>
      <c r="P280" s="121"/>
    </row>
    <row r="281" spans="1:16" s="115" customFormat="1" ht="15" customHeight="1">
      <c r="A281" s="48" t="s">
        <v>1444</v>
      </c>
      <c r="B281" s="554" t="s">
        <v>1445</v>
      </c>
      <c r="C281" s="392" t="s">
        <v>53</v>
      </c>
      <c r="D281" s="569">
        <v>41578</v>
      </c>
      <c r="E281" s="570">
        <v>17850</v>
      </c>
      <c r="F281" s="571">
        <v>3.78</v>
      </c>
      <c r="G281" s="572">
        <f t="shared" si="57"/>
        <v>67473</v>
      </c>
      <c r="H281" s="573"/>
      <c r="I281" s="608">
        <v>41610</v>
      </c>
      <c r="J281" s="571">
        <v>3.79</v>
      </c>
      <c r="K281" s="575">
        <f t="shared" si="58"/>
        <v>67651.5</v>
      </c>
      <c r="L281" s="576">
        <f t="shared" si="59"/>
        <v>178.5</v>
      </c>
      <c r="M281" s="568">
        <v>0.91080000000000005</v>
      </c>
      <c r="N281" s="577">
        <f t="shared" si="60"/>
        <v>162.5778</v>
      </c>
      <c r="O281" s="366"/>
      <c r="P281" s="121"/>
    </row>
    <row r="282" spans="1:16" s="115" customFormat="1" ht="15" customHeight="1">
      <c r="A282" s="48" t="s">
        <v>970</v>
      </c>
      <c r="B282" s="554" t="s">
        <v>219</v>
      </c>
      <c r="C282" s="392" t="s">
        <v>53</v>
      </c>
      <c r="D282" s="569">
        <v>41528</v>
      </c>
      <c r="E282" s="570">
        <v>14110</v>
      </c>
      <c r="F282" s="571">
        <v>2.44</v>
      </c>
      <c r="G282" s="572">
        <f t="shared" si="57"/>
        <v>34428.400000000001</v>
      </c>
      <c r="H282" s="573"/>
      <c r="I282" s="608">
        <v>41610</v>
      </c>
      <c r="J282" s="571">
        <v>2.58</v>
      </c>
      <c r="K282" s="575">
        <f t="shared" si="58"/>
        <v>36403.800000000003</v>
      </c>
      <c r="L282" s="576">
        <f t="shared" si="59"/>
        <v>1975.4000000000015</v>
      </c>
      <c r="M282" s="568">
        <v>0.91080000000000005</v>
      </c>
      <c r="N282" s="577">
        <f t="shared" si="60"/>
        <v>1799.1943200000014</v>
      </c>
      <c r="O282" s="366"/>
      <c r="P282" s="121"/>
    </row>
    <row r="283" spans="1:16" s="115" customFormat="1" ht="15" customHeight="1">
      <c r="A283" s="48" t="s">
        <v>1288</v>
      </c>
      <c r="B283" s="554" t="s">
        <v>153</v>
      </c>
      <c r="C283" s="392" t="s">
        <v>53</v>
      </c>
      <c r="D283" s="569">
        <v>41505</v>
      </c>
      <c r="E283" s="570">
        <v>8578</v>
      </c>
      <c r="F283" s="571">
        <v>4.4800000000000004</v>
      </c>
      <c r="G283" s="572">
        <f t="shared" si="57"/>
        <v>38429.440000000002</v>
      </c>
      <c r="H283" s="573"/>
      <c r="I283" s="608">
        <v>41612</v>
      </c>
      <c r="J283" s="571">
        <v>5.8</v>
      </c>
      <c r="K283" s="575">
        <f t="shared" si="58"/>
        <v>49752.4</v>
      </c>
      <c r="L283" s="576">
        <f t="shared" si="59"/>
        <v>11322.96</v>
      </c>
      <c r="M283" s="568">
        <v>0.91080000000000005</v>
      </c>
      <c r="N283" s="577">
        <f t="shared" si="60"/>
        <v>10312.951967999999</v>
      </c>
      <c r="O283" s="366"/>
      <c r="P283" s="121"/>
    </row>
    <row r="284" spans="1:16" s="115" customFormat="1" ht="15" customHeight="1">
      <c r="A284" s="48" t="s">
        <v>1446</v>
      </c>
      <c r="B284" s="554" t="s">
        <v>1447</v>
      </c>
      <c r="C284" s="392" t="s">
        <v>53</v>
      </c>
      <c r="D284" s="569">
        <v>41577</v>
      </c>
      <c r="E284" s="570">
        <v>10984</v>
      </c>
      <c r="F284" s="571">
        <v>6.13</v>
      </c>
      <c r="G284" s="572">
        <f t="shared" si="57"/>
        <v>67331.92</v>
      </c>
      <c r="H284" s="573"/>
      <c r="I284" s="608">
        <v>41613</v>
      </c>
      <c r="J284" s="571">
        <v>5.87</v>
      </c>
      <c r="K284" s="575">
        <f t="shared" si="58"/>
        <v>64476.08</v>
      </c>
      <c r="L284" s="576">
        <f t="shared" si="59"/>
        <v>-2855.8399999999965</v>
      </c>
      <c r="M284" s="568">
        <v>0.91080000000000005</v>
      </c>
      <c r="N284" s="577">
        <f t="shared" si="60"/>
        <v>-2601.0990719999968</v>
      </c>
      <c r="O284" s="366"/>
      <c r="P284" s="121"/>
    </row>
    <row r="285" spans="1:16" s="115" customFormat="1" ht="15" customHeight="1">
      <c r="A285" s="48" t="s">
        <v>1470</v>
      </c>
      <c r="B285" s="555" t="s">
        <v>447</v>
      </c>
      <c r="C285" s="581" t="s">
        <v>53</v>
      </c>
      <c r="D285" s="578">
        <v>41597</v>
      </c>
      <c r="E285" s="579">
        <v>6264</v>
      </c>
      <c r="F285" s="580">
        <v>16.670000000000002</v>
      </c>
      <c r="G285" s="572">
        <f t="shared" si="57"/>
        <v>104420.88</v>
      </c>
      <c r="H285" s="573"/>
      <c r="I285" s="609">
        <v>41613</v>
      </c>
      <c r="J285" s="580">
        <v>15.97</v>
      </c>
      <c r="K285" s="575">
        <f t="shared" si="58"/>
        <v>100036.08</v>
      </c>
      <c r="L285" s="576">
        <f t="shared" si="59"/>
        <v>-4384.8000000000029</v>
      </c>
      <c r="M285" s="568">
        <v>0.91080000000000005</v>
      </c>
      <c r="N285" s="577">
        <f t="shared" si="60"/>
        <v>-3993.6758400000031</v>
      </c>
      <c r="O285" s="366"/>
      <c r="P285" s="121"/>
    </row>
    <row r="286" spans="1:16" s="115" customFormat="1" ht="15" customHeight="1">
      <c r="A286" s="48" t="s">
        <v>1427</v>
      </c>
      <c r="B286" s="554" t="s">
        <v>1428</v>
      </c>
      <c r="C286" s="392" t="s">
        <v>53</v>
      </c>
      <c r="D286" s="569">
        <v>41568</v>
      </c>
      <c r="E286" s="570">
        <v>6583</v>
      </c>
      <c r="F286" s="571">
        <v>10.59</v>
      </c>
      <c r="G286" s="572">
        <f t="shared" ref="G286:G291" si="61">SUM(E286*F286)</f>
        <v>69713.97</v>
      </c>
      <c r="H286" s="573"/>
      <c r="I286" s="608">
        <v>41620</v>
      </c>
      <c r="J286" s="571">
        <v>10.69</v>
      </c>
      <c r="K286" s="575">
        <f t="shared" ref="K286:K291" si="62">SUM(E286*J286)</f>
        <v>70372.26999999999</v>
      </c>
      <c r="L286" s="576">
        <f>SUM(K286-G286)</f>
        <v>658.29999999998836</v>
      </c>
      <c r="M286" s="568">
        <v>0.91080000000000005</v>
      </c>
      <c r="N286" s="577">
        <f t="shared" ref="N286:N291" si="63">SUM(L286*M286)</f>
        <v>599.57963999998947</v>
      </c>
      <c r="O286" s="366"/>
      <c r="P286" s="121"/>
    </row>
    <row r="287" spans="1:16" s="115" customFormat="1" ht="15" customHeight="1">
      <c r="A287" s="48" t="s">
        <v>1464</v>
      </c>
      <c r="B287" s="555" t="s">
        <v>1465</v>
      </c>
      <c r="C287" s="581" t="s">
        <v>53</v>
      </c>
      <c r="D287" s="578">
        <v>41592</v>
      </c>
      <c r="E287" s="579">
        <v>6108</v>
      </c>
      <c r="F287" s="580">
        <v>11.78</v>
      </c>
      <c r="G287" s="572">
        <f t="shared" si="61"/>
        <v>71952.239999999991</v>
      </c>
      <c r="H287" s="573"/>
      <c r="I287" s="609">
        <v>41617</v>
      </c>
      <c r="J287" s="580">
        <v>11.72</v>
      </c>
      <c r="K287" s="575">
        <f t="shared" si="62"/>
        <v>71585.760000000009</v>
      </c>
      <c r="L287" s="576">
        <f>SUM(K287-G287)</f>
        <v>-366.47999999998137</v>
      </c>
      <c r="M287" s="568">
        <v>0.91080000000000005</v>
      </c>
      <c r="N287" s="577">
        <f t="shared" si="63"/>
        <v>-333.78998399998306</v>
      </c>
      <c r="O287" s="366"/>
      <c r="P287" s="121"/>
    </row>
    <row r="288" spans="1:16" s="117" customFormat="1" ht="15" customHeight="1">
      <c r="A288" s="456" t="s">
        <v>1361</v>
      </c>
      <c r="B288" s="605" t="s">
        <v>1362</v>
      </c>
      <c r="C288" s="457" t="s">
        <v>78</v>
      </c>
      <c r="D288" s="458">
        <v>41618</v>
      </c>
      <c r="E288" s="459">
        <v>6827</v>
      </c>
      <c r="F288" s="460">
        <v>11.28</v>
      </c>
      <c r="G288" s="461">
        <f t="shared" si="61"/>
        <v>77008.56</v>
      </c>
      <c r="H288" s="462"/>
      <c r="I288" s="458">
        <v>41632</v>
      </c>
      <c r="J288" s="460">
        <v>11.92</v>
      </c>
      <c r="K288" s="464">
        <f t="shared" si="62"/>
        <v>81377.84</v>
      </c>
      <c r="L288" s="465">
        <f>SUM(G288-K288)</f>
        <v>-4369.2799999999988</v>
      </c>
      <c r="M288" s="466">
        <v>0.8921</v>
      </c>
      <c r="N288" s="808">
        <f t="shared" si="63"/>
        <v>-3897.834687999999</v>
      </c>
      <c r="O288" s="365"/>
      <c r="P288" s="122"/>
    </row>
    <row r="289" spans="1:21" s="115" customFormat="1" ht="15" customHeight="1">
      <c r="A289" s="48" t="s">
        <v>1488</v>
      </c>
      <c r="B289" s="555" t="s">
        <v>1489</v>
      </c>
      <c r="C289" s="581" t="s">
        <v>53</v>
      </c>
      <c r="D289" s="578">
        <v>41607</v>
      </c>
      <c r="E289" s="579">
        <v>1575</v>
      </c>
      <c r="F289" s="580">
        <v>66.06</v>
      </c>
      <c r="G289" s="572">
        <f t="shared" si="61"/>
        <v>104044.5</v>
      </c>
      <c r="H289" s="573"/>
      <c r="I289" s="609">
        <v>41649</v>
      </c>
      <c r="J289" s="580">
        <v>63.9</v>
      </c>
      <c r="K289" s="575">
        <f t="shared" si="62"/>
        <v>100642.5</v>
      </c>
      <c r="L289" s="576">
        <f>SUM(K289-G289)</f>
        <v>-3402</v>
      </c>
      <c r="M289" s="568">
        <v>0.91080000000000005</v>
      </c>
      <c r="N289" s="577">
        <f t="shared" si="63"/>
        <v>-3098.5416</v>
      </c>
      <c r="O289" s="366"/>
      <c r="P289" s="121"/>
    </row>
    <row r="290" spans="1:21" s="115" customFormat="1" ht="15" customHeight="1">
      <c r="A290" s="14" t="s">
        <v>1562</v>
      </c>
      <c r="B290" s="555" t="s">
        <v>1563</v>
      </c>
      <c r="C290" s="446" t="s">
        <v>53</v>
      </c>
      <c r="D290" s="447">
        <v>41659</v>
      </c>
      <c r="E290" s="448">
        <v>300000</v>
      </c>
      <c r="F290" s="449">
        <v>9.7000000000000003E-2</v>
      </c>
      <c r="G290" s="450">
        <f t="shared" si="61"/>
        <v>29100</v>
      </c>
      <c r="H290" s="451"/>
      <c r="I290" s="534">
        <v>41667</v>
      </c>
      <c r="J290" s="449">
        <v>8.7999999999999995E-2</v>
      </c>
      <c r="K290" s="453">
        <f t="shared" si="62"/>
        <v>26400</v>
      </c>
      <c r="L290" s="454">
        <f>SUM(K290-G290)</f>
        <v>-2700</v>
      </c>
      <c r="M290" s="429">
        <v>0.87860000000000005</v>
      </c>
      <c r="N290" s="455">
        <f t="shared" si="63"/>
        <v>-2372.2200000000003</v>
      </c>
      <c r="O290" s="366"/>
      <c r="P290" s="121"/>
    </row>
    <row r="291" spans="1:21" s="115" customFormat="1" ht="15" customHeight="1">
      <c r="A291" s="14" t="s">
        <v>1570</v>
      </c>
      <c r="B291" s="555" t="s">
        <v>841</v>
      </c>
      <c r="C291" s="446" t="s">
        <v>53</v>
      </c>
      <c r="D291" s="447">
        <v>41667</v>
      </c>
      <c r="E291" s="448">
        <v>1991</v>
      </c>
      <c r="F291" s="449">
        <v>71.08</v>
      </c>
      <c r="G291" s="450">
        <f t="shared" si="61"/>
        <v>141520.28</v>
      </c>
      <c r="H291" s="451"/>
      <c r="I291" s="534">
        <v>41674</v>
      </c>
      <c r="J291" s="449">
        <v>68.64</v>
      </c>
      <c r="K291" s="453">
        <f t="shared" si="62"/>
        <v>136662.24</v>
      </c>
      <c r="L291" s="454">
        <f>SUM(K291-G291)</f>
        <v>-4858.0400000000081</v>
      </c>
      <c r="M291" s="429">
        <v>0.87580000000000002</v>
      </c>
      <c r="N291" s="455">
        <f t="shared" si="63"/>
        <v>-4254.6714320000074</v>
      </c>
      <c r="O291" s="366"/>
      <c r="P291" s="121"/>
    </row>
    <row r="292" spans="1:21" s="117" customFormat="1" ht="15" customHeight="1">
      <c r="A292" s="456" t="s">
        <v>1523</v>
      </c>
      <c r="B292" s="605" t="s">
        <v>1524</v>
      </c>
      <c r="C292" s="457" t="s">
        <v>78</v>
      </c>
      <c r="D292" s="458">
        <v>41627</v>
      </c>
      <c r="E292" s="459">
        <v>28103</v>
      </c>
      <c r="F292" s="460">
        <v>2.1</v>
      </c>
      <c r="G292" s="461">
        <f t="shared" ref="G292:G297" si="64">SUM(E292*F292)</f>
        <v>59016.3</v>
      </c>
      <c r="H292" s="462"/>
      <c r="I292" s="458">
        <v>41688</v>
      </c>
      <c r="J292" s="460">
        <v>2.09</v>
      </c>
      <c r="K292" s="464">
        <f t="shared" ref="K292:K297" si="65">SUM(E292*J292)</f>
        <v>58735.27</v>
      </c>
      <c r="L292" s="465">
        <f>SUM(G292-K292)</f>
        <v>281.03000000000611</v>
      </c>
      <c r="M292" s="466">
        <v>0.88019999999999998</v>
      </c>
      <c r="N292" s="467">
        <f t="shared" ref="N292:N297" si="66">SUM(L292*M292)</f>
        <v>247.36260600000537</v>
      </c>
      <c r="O292" s="365"/>
      <c r="P292" s="122"/>
    </row>
    <row r="293" spans="1:21" s="115" customFormat="1" ht="15" customHeight="1">
      <c r="A293" s="14" t="s">
        <v>442</v>
      </c>
      <c r="B293" s="555" t="s">
        <v>443</v>
      </c>
      <c r="C293" s="446" t="s">
        <v>53</v>
      </c>
      <c r="D293" s="447">
        <v>41680</v>
      </c>
      <c r="E293" s="448">
        <v>23125</v>
      </c>
      <c r="F293" s="449">
        <v>2.54</v>
      </c>
      <c r="G293" s="450">
        <f t="shared" si="64"/>
        <v>58737.5</v>
      </c>
      <c r="H293" s="451"/>
      <c r="I293" s="534">
        <v>41708</v>
      </c>
      <c r="J293" s="449">
        <v>2.57</v>
      </c>
      <c r="K293" s="453">
        <f t="shared" si="65"/>
        <v>59431.249999999993</v>
      </c>
      <c r="L293" s="454">
        <f t="shared" ref="L293:L298" si="67">SUM(K293-G293)</f>
        <v>693.74999999999272</v>
      </c>
      <c r="M293" s="568">
        <v>0.91080000000000005</v>
      </c>
      <c r="N293" s="455">
        <f t="shared" si="66"/>
        <v>631.86749999999336</v>
      </c>
      <c r="O293" s="366"/>
      <c r="P293" s="121"/>
    </row>
    <row r="294" spans="1:21" s="115" customFormat="1" ht="15" customHeight="1">
      <c r="A294" s="14" t="s">
        <v>1597</v>
      </c>
      <c r="B294" s="555" t="s">
        <v>1598</v>
      </c>
      <c r="C294" s="446" t="s">
        <v>53</v>
      </c>
      <c r="D294" s="447">
        <v>41701</v>
      </c>
      <c r="E294" s="448">
        <v>3836</v>
      </c>
      <c r="F294" s="449">
        <v>36.36</v>
      </c>
      <c r="G294" s="450">
        <f t="shared" si="64"/>
        <v>139476.96</v>
      </c>
      <c r="H294" s="451"/>
      <c r="I294" s="452">
        <v>41712</v>
      </c>
      <c r="J294" s="449">
        <v>35.130000000000003</v>
      </c>
      <c r="K294" s="453">
        <f t="shared" si="65"/>
        <v>134758.68000000002</v>
      </c>
      <c r="L294" s="454">
        <f t="shared" si="67"/>
        <v>-4718.2799999999697</v>
      </c>
      <c r="M294" s="429">
        <v>0.91080000000000005</v>
      </c>
      <c r="N294" s="455">
        <f t="shared" si="66"/>
        <v>-4297.4094239999731</v>
      </c>
      <c r="O294" s="366"/>
      <c r="P294" s="121"/>
    </row>
    <row r="295" spans="1:21" s="115" customFormat="1" ht="15" customHeight="1">
      <c r="A295" s="14" t="s">
        <v>315</v>
      </c>
      <c r="B295" s="555" t="s">
        <v>316</v>
      </c>
      <c r="C295" s="446" t="s">
        <v>53</v>
      </c>
      <c r="D295" s="447">
        <v>41683</v>
      </c>
      <c r="E295" s="448">
        <v>104062</v>
      </c>
      <c r="F295" s="449">
        <v>0.71</v>
      </c>
      <c r="G295" s="450">
        <f t="shared" si="64"/>
        <v>73884.01999999999</v>
      </c>
      <c r="H295" s="451"/>
      <c r="I295" s="534">
        <v>41710</v>
      </c>
      <c r="J295" s="449">
        <v>0.94</v>
      </c>
      <c r="K295" s="453">
        <f t="shared" si="65"/>
        <v>97818.28</v>
      </c>
      <c r="L295" s="454">
        <f t="shared" si="67"/>
        <v>23934.260000000009</v>
      </c>
      <c r="M295" s="568">
        <v>0.91080000000000005</v>
      </c>
      <c r="N295" s="455">
        <f t="shared" si="66"/>
        <v>21799.324008000011</v>
      </c>
      <c r="O295" s="366"/>
      <c r="P295" s="121"/>
    </row>
    <row r="296" spans="1:21" s="115" customFormat="1" ht="15" customHeight="1">
      <c r="A296" s="14" t="s">
        <v>1652</v>
      </c>
      <c r="B296" s="555" t="s">
        <v>1653</v>
      </c>
      <c r="C296" s="446" t="s">
        <v>53</v>
      </c>
      <c r="D296" s="447">
        <v>41739</v>
      </c>
      <c r="E296" s="448">
        <v>35650</v>
      </c>
      <c r="F296" s="449">
        <v>7.41</v>
      </c>
      <c r="G296" s="450">
        <f t="shared" si="64"/>
        <v>264166.5</v>
      </c>
      <c r="H296" s="451"/>
      <c r="I296" s="534">
        <v>41740</v>
      </c>
      <c r="J296" s="449">
        <v>7.21</v>
      </c>
      <c r="K296" s="453">
        <f t="shared" si="65"/>
        <v>257036.5</v>
      </c>
      <c r="L296" s="454">
        <f t="shared" si="67"/>
        <v>-7130</v>
      </c>
      <c r="M296" s="429">
        <v>0.93559999999999999</v>
      </c>
      <c r="N296" s="455">
        <f t="shared" si="66"/>
        <v>-6670.8279999999995</v>
      </c>
      <c r="O296" s="366"/>
      <c r="P296" s="121"/>
    </row>
    <row r="297" spans="1:21" s="115" customFormat="1" ht="15" customHeight="1">
      <c r="A297" s="14" t="s">
        <v>1650</v>
      </c>
      <c r="B297" s="555" t="s">
        <v>1651</v>
      </c>
      <c r="C297" s="446" t="s">
        <v>53</v>
      </c>
      <c r="D297" s="447">
        <v>41739</v>
      </c>
      <c r="E297" s="448">
        <v>47533</v>
      </c>
      <c r="F297" s="449">
        <v>3.34</v>
      </c>
      <c r="G297" s="450">
        <f t="shared" si="64"/>
        <v>158760.22</v>
      </c>
      <c r="H297" s="451"/>
      <c r="I297" s="534">
        <v>41740</v>
      </c>
      <c r="J297" s="449">
        <v>3.29</v>
      </c>
      <c r="K297" s="453">
        <f t="shared" si="65"/>
        <v>156383.57</v>
      </c>
      <c r="L297" s="454">
        <f t="shared" si="67"/>
        <v>-2376.6499999999942</v>
      </c>
      <c r="M297" s="429">
        <v>0.93640000000000001</v>
      </c>
      <c r="N297" s="455">
        <f t="shared" si="66"/>
        <v>-2225.4950599999947</v>
      </c>
      <c r="O297" s="366"/>
      <c r="P297" s="121"/>
    </row>
    <row r="298" spans="1:21" s="117" customFormat="1" ht="15" customHeight="1">
      <c r="A298" s="14" t="s">
        <v>401</v>
      </c>
      <c r="B298" s="555" t="s">
        <v>402</v>
      </c>
      <c r="C298" s="446" t="s">
        <v>53</v>
      </c>
      <c r="D298" s="447">
        <v>41729</v>
      </c>
      <c r="E298" s="448">
        <v>3144</v>
      </c>
      <c r="F298" s="449">
        <v>58.13</v>
      </c>
      <c r="G298" s="450">
        <f t="shared" ref="G298:G303" si="68">SUM(E298*F298)</f>
        <v>182760.72</v>
      </c>
      <c r="H298" s="451"/>
      <c r="I298" s="534">
        <v>41743</v>
      </c>
      <c r="J298" s="449">
        <v>55.85</v>
      </c>
      <c r="K298" s="453">
        <f t="shared" ref="K298:K303" si="69">SUM(E298*J298)</f>
        <v>175592.4</v>
      </c>
      <c r="L298" s="454">
        <f t="shared" si="67"/>
        <v>-7168.320000000007</v>
      </c>
      <c r="M298" s="429">
        <v>0.92949999999999999</v>
      </c>
      <c r="N298" s="455">
        <f t="shared" ref="N298:N303" si="70">SUM(L298*M298)</f>
        <v>-6662.9534400000066</v>
      </c>
      <c r="O298" s="366"/>
      <c r="P298" s="121"/>
      <c r="Q298" s="115"/>
      <c r="R298" s="115"/>
      <c r="S298" s="115"/>
      <c r="T298" s="115"/>
      <c r="U298" s="115"/>
    </row>
    <row r="299" spans="1:21" s="115" customFormat="1" ht="15" customHeight="1">
      <c r="A299" s="14" t="s">
        <v>226</v>
      </c>
      <c r="B299" s="555" t="s">
        <v>226</v>
      </c>
      <c r="C299" s="446" t="s">
        <v>53</v>
      </c>
      <c r="D299" s="447">
        <v>41739</v>
      </c>
      <c r="E299" s="448">
        <v>32409</v>
      </c>
      <c r="F299" s="449">
        <v>5.16</v>
      </c>
      <c r="G299" s="450">
        <f t="shared" si="68"/>
        <v>167230.44</v>
      </c>
      <c r="H299" s="451"/>
      <c r="I299" s="534">
        <v>41758</v>
      </c>
      <c r="J299" s="449">
        <v>5.0590000000000002</v>
      </c>
      <c r="K299" s="453">
        <f t="shared" si="69"/>
        <v>163957.13099999999</v>
      </c>
      <c r="L299" s="454">
        <f>SUM(K299-G299)</f>
        <v>-3273.3090000000084</v>
      </c>
      <c r="M299" s="429">
        <v>0.92830000000000001</v>
      </c>
      <c r="N299" s="455">
        <f t="shared" si="70"/>
        <v>-3038.6127447000076</v>
      </c>
      <c r="O299" s="366"/>
      <c r="P299" s="121"/>
    </row>
    <row r="300" spans="1:21" s="115" customFormat="1" ht="15" customHeight="1">
      <c r="A300" s="456" t="s">
        <v>1668</v>
      </c>
      <c r="B300" s="605" t="s">
        <v>1669</v>
      </c>
      <c r="C300" s="457" t="s">
        <v>78</v>
      </c>
      <c r="D300" s="458">
        <v>41746</v>
      </c>
      <c r="E300" s="459">
        <v>50000</v>
      </c>
      <c r="F300" s="460">
        <v>0.51500000000000001</v>
      </c>
      <c r="G300" s="461">
        <f t="shared" si="68"/>
        <v>25750</v>
      </c>
      <c r="H300" s="462"/>
      <c r="I300" s="458">
        <v>41759</v>
      </c>
      <c r="J300" s="460">
        <v>0.56999999999999995</v>
      </c>
      <c r="K300" s="464">
        <f t="shared" si="69"/>
        <v>28499.999999999996</v>
      </c>
      <c r="L300" s="465">
        <f>SUM(G300-K300)</f>
        <v>-2749.9999999999964</v>
      </c>
      <c r="M300" s="466">
        <v>0.92749999999999999</v>
      </c>
      <c r="N300" s="467">
        <f t="shared" si="70"/>
        <v>-2550.6249999999968</v>
      </c>
      <c r="O300" s="365"/>
      <c r="P300" s="122"/>
      <c r="Q300" s="117"/>
      <c r="R300" s="117"/>
      <c r="S300" s="117"/>
      <c r="T300" s="117"/>
      <c r="U300" s="117"/>
    </row>
    <row r="301" spans="1:21" s="115" customFormat="1" ht="15" customHeight="1">
      <c r="A301" s="14" t="s">
        <v>1671</v>
      </c>
      <c r="B301" s="555" t="s">
        <v>1672</v>
      </c>
      <c r="C301" s="446" t="s">
        <v>53</v>
      </c>
      <c r="D301" s="447">
        <v>41751</v>
      </c>
      <c r="E301" s="448">
        <v>30000</v>
      </c>
      <c r="F301" s="449">
        <v>4.32</v>
      </c>
      <c r="G301" s="450">
        <f t="shared" si="68"/>
        <v>129600.00000000001</v>
      </c>
      <c r="H301" s="451"/>
      <c r="I301" s="534">
        <v>41758</v>
      </c>
      <c r="J301" s="449">
        <v>4.2</v>
      </c>
      <c r="K301" s="453">
        <f t="shared" si="69"/>
        <v>126000</v>
      </c>
      <c r="L301" s="454">
        <f t="shared" ref="L301:L307" si="71">SUM(K301-G301)</f>
        <v>-3600.0000000000146</v>
      </c>
      <c r="M301" s="429">
        <v>0.92910000000000004</v>
      </c>
      <c r="N301" s="455">
        <f t="shared" si="70"/>
        <v>-3344.7600000000139</v>
      </c>
      <c r="O301" s="366"/>
      <c r="P301" s="121"/>
    </row>
    <row r="302" spans="1:21" s="115" customFormat="1" ht="15" customHeight="1">
      <c r="A302" s="48" t="s">
        <v>1327</v>
      </c>
      <c r="B302" s="554" t="s">
        <v>1328</v>
      </c>
      <c r="C302" s="392" t="s">
        <v>53</v>
      </c>
      <c r="D302" s="569">
        <v>41527</v>
      </c>
      <c r="E302" s="570">
        <v>11288</v>
      </c>
      <c r="F302" s="571">
        <v>4.67</v>
      </c>
      <c r="G302" s="572">
        <f t="shared" si="68"/>
        <v>52714.96</v>
      </c>
      <c r="H302" s="573"/>
      <c r="I302" s="608">
        <v>41764</v>
      </c>
      <c r="J302" s="571">
        <v>5.01</v>
      </c>
      <c r="K302" s="575">
        <f t="shared" si="69"/>
        <v>56552.88</v>
      </c>
      <c r="L302" s="576">
        <f t="shared" si="71"/>
        <v>3837.9199999999983</v>
      </c>
      <c r="M302" s="568">
        <v>0.92579999999999996</v>
      </c>
      <c r="N302" s="577">
        <f t="shared" si="70"/>
        <v>3553.1463359999984</v>
      </c>
      <c r="O302" s="366"/>
      <c r="P302" s="121"/>
    </row>
    <row r="303" spans="1:21" s="115" customFormat="1" ht="15" customHeight="1">
      <c r="A303" s="14" t="s">
        <v>1329</v>
      </c>
      <c r="B303" s="555" t="s">
        <v>1330</v>
      </c>
      <c r="C303" s="446" t="s">
        <v>53</v>
      </c>
      <c r="D303" s="447">
        <v>41752</v>
      </c>
      <c r="E303" s="448">
        <v>7406</v>
      </c>
      <c r="F303" s="449">
        <v>35.369999999999997</v>
      </c>
      <c r="G303" s="450">
        <f t="shared" si="68"/>
        <v>261950.21999999997</v>
      </c>
      <c r="H303" s="451"/>
      <c r="I303" s="534">
        <v>41764</v>
      </c>
      <c r="J303" s="449">
        <v>34.39</v>
      </c>
      <c r="K303" s="453">
        <f t="shared" si="69"/>
        <v>254692.34</v>
      </c>
      <c r="L303" s="454">
        <f t="shared" si="71"/>
        <v>-7257.8799999999756</v>
      </c>
      <c r="M303" s="429">
        <v>0.93</v>
      </c>
      <c r="N303" s="455">
        <f t="shared" si="70"/>
        <v>-6749.8283999999776</v>
      </c>
      <c r="O303" s="366"/>
      <c r="P303" s="121"/>
    </row>
    <row r="304" spans="1:21" s="115" customFormat="1" ht="15" customHeight="1">
      <c r="A304" s="14" t="s">
        <v>1470</v>
      </c>
      <c r="B304" s="555" t="s">
        <v>447</v>
      </c>
      <c r="C304" s="446" t="s">
        <v>53</v>
      </c>
      <c r="D304" s="447">
        <v>41772</v>
      </c>
      <c r="E304" s="448">
        <v>9100</v>
      </c>
      <c r="F304" s="449">
        <v>18.2</v>
      </c>
      <c r="G304" s="450">
        <f t="shared" ref="G304:G309" si="72">SUM(E304*F304)</f>
        <v>165620</v>
      </c>
      <c r="H304" s="451"/>
      <c r="I304" s="534">
        <v>41773</v>
      </c>
      <c r="J304" s="449">
        <v>17.54</v>
      </c>
      <c r="K304" s="453">
        <f t="shared" ref="K304:K309" si="73">SUM(E304*J304)</f>
        <v>159614</v>
      </c>
      <c r="L304" s="454">
        <f t="shared" si="71"/>
        <v>-6006</v>
      </c>
      <c r="M304" s="429">
        <v>0.94</v>
      </c>
      <c r="N304" s="455">
        <f t="shared" ref="N304:N309" si="74">SUM(L304*M304)</f>
        <v>-5645.6399999999994</v>
      </c>
      <c r="O304" s="366"/>
      <c r="P304" s="121"/>
    </row>
    <row r="305" spans="1:16" s="115" customFormat="1" ht="15" customHeight="1">
      <c r="A305" s="14" t="s">
        <v>1591</v>
      </c>
      <c r="B305" s="555" t="s">
        <v>240</v>
      </c>
      <c r="C305" s="446" t="s">
        <v>53</v>
      </c>
      <c r="D305" s="447">
        <v>41687</v>
      </c>
      <c r="E305" s="448">
        <v>43500</v>
      </c>
      <c r="F305" s="449">
        <v>2.13</v>
      </c>
      <c r="G305" s="450">
        <f t="shared" si="72"/>
        <v>92655</v>
      </c>
      <c r="H305" s="451"/>
      <c r="I305" s="534">
        <v>41778</v>
      </c>
      <c r="J305" s="449">
        <v>2.4449999999999998</v>
      </c>
      <c r="K305" s="453">
        <f t="shared" si="73"/>
        <v>106357.5</v>
      </c>
      <c r="L305" s="454">
        <f t="shared" si="71"/>
        <v>13702.5</v>
      </c>
      <c r="M305" s="568">
        <v>0.91080000000000005</v>
      </c>
      <c r="N305" s="455">
        <f t="shared" si="74"/>
        <v>12480.237000000001</v>
      </c>
      <c r="O305" s="366"/>
      <c r="P305" s="121"/>
    </row>
    <row r="306" spans="1:16" s="115" customFormat="1" ht="15" customHeight="1">
      <c r="A306" s="14" t="s">
        <v>1715</v>
      </c>
      <c r="B306" s="555" t="s">
        <v>1716</v>
      </c>
      <c r="C306" s="446" t="s">
        <v>53</v>
      </c>
      <c r="D306" s="447">
        <v>41779</v>
      </c>
      <c r="E306" s="448">
        <v>33000</v>
      </c>
      <c r="F306" s="449">
        <v>3.93</v>
      </c>
      <c r="G306" s="450">
        <f t="shared" si="72"/>
        <v>129690</v>
      </c>
      <c r="H306" s="451"/>
      <c r="I306" s="534">
        <v>41780</v>
      </c>
      <c r="J306" s="449">
        <v>3.81</v>
      </c>
      <c r="K306" s="453">
        <f t="shared" si="73"/>
        <v>125730</v>
      </c>
      <c r="L306" s="454">
        <f t="shared" si="71"/>
        <v>-3960</v>
      </c>
      <c r="M306" s="429">
        <v>0.95</v>
      </c>
      <c r="N306" s="455">
        <f t="shared" si="74"/>
        <v>-3762</v>
      </c>
      <c r="O306" s="366"/>
      <c r="P306" s="121"/>
    </row>
    <row r="307" spans="1:16" s="115" customFormat="1" ht="15" customHeight="1">
      <c r="A307" s="14" t="s">
        <v>1430</v>
      </c>
      <c r="B307" s="555" t="s">
        <v>1429</v>
      </c>
      <c r="C307" s="446" t="s">
        <v>53</v>
      </c>
      <c r="D307" s="447">
        <v>41767</v>
      </c>
      <c r="E307" s="448">
        <v>13482</v>
      </c>
      <c r="F307" s="449">
        <v>15.25</v>
      </c>
      <c r="G307" s="450">
        <f t="shared" si="72"/>
        <v>205600.5</v>
      </c>
      <c r="H307" s="451"/>
      <c r="I307" s="534">
        <v>41779</v>
      </c>
      <c r="J307" s="449">
        <v>14.73</v>
      </c>
      <c r="K307" s="453">
        <f t="shared" si="73"/>
        <v>198589.86000000002</v>
      </c>
      <c r="L307" s="454">
        <f t="shared" si="71"/>
        <v>-7010.6399999999849</v>
      </c>
      <c r="M307" s="429">
        <v>0.95</v>
      </c>
      <c r="N307" s="455">
        <f t="shared" si="74"/>
        <v>-6660.1079999999856</v>
      </c>
      <c r="O307" s="366"/>
      <c r="P307" s="121"/>
    </row>
    <row r="308" spans="1:16" s="115" customFormat="1" ht="15" customHeight="1">
      <c r="A308" s="14" t="s">
        <v>1696</v>
      </c>
      <c r="B308" s="555" t="s">
        <v>203</v>
      </c>
      <c r="C308" s="446" t="s">
        <v>53</v>
      </c>
      <c r="D308" s="447">
        <v>41765</v>
      </c>
      <c r="E308" s="448">
        <v>42875</v>
      </c>
      <c r="F308" s="449">
        <v>3.57</v>
      </c>
      <c r="G308" s="450">
        <f t="shared" si="72"/>
        <v>153063.75</v>
      </c>
      <c r="H308" s="451"/>
      <c r="I308" s="534">
        <v>41788</v>
      </c>
      <c r="J308" s="449">
        <v>3.4870000000000001</v>
      </c>
      <c r="K308" s="453">
        <f t="shared" si="73"/>
        <v>149505.125</v>
      </c>
      <c r="L308" s="454">
        <f>SUM(K308-G308)</f>
        <v>-3558.625</v>
      </c>
      <c r="M308" s="429">
        <v>0.95</v>
      </c>
      <c r="N308" s="455">
        <f t="shared" si="74"/>
        <v>-3380.6937499999999</v>
      </c>
      <c r="O308" s="366"/>
      <c r="P308" s="121"/>
    </row>
    <row r="309" spans="1:16" s="115" customFormat="1" ht="15" customHeight="1">
      <c r="A309" s="14" t="s">
        <v>1722</v>
      </c>
      <c r="B309" s="555" t="s">
        <v>1723</v>
      </c>
      <c r="C309" s="446" t="s">
        <v>53</v>
      </c>
      <c r="D309" s="447">
        <v>41786</v>
      </c>
      <c r="E309" s="448">
        <v>49700</v>
      </c>
      <c r="F309" s="449">
        <v>3.2850000000000001</v>
      </c>
      <c r="G309" s="450">
        <f t="shared" si="72"/>
        <v>163264.5</v>
      </c>
      <c r="H309" s="451"/>
      <c r="I309" s="534">
        <v>41795</v>
      </c>
      <c r="J309" s="449">
        <v>3.165</v>
      </c>
      <c r="K309" s="453">
        <f t="shared" si="73"/>
        <v>157300.5</v>
      </c>
      <c r="L309" s="454">
        <f>SUM(K309-G309)</f>
        <v>-5964</v>
      </c>
      <c r="M309" s="429">
        <v>0.95</v>
      </c>
      <c r="N309" s="455">
        <f t="shared" si="74"/>
        <v>-5665.8</v>
      </c>
      <c r="O309" s="366"/>
      <c r="P309" s="121"/>
    </row>
    <row r="310" spans="1:16" s="115" customFormat="1" ht="15" customHeight="1">
      <c r="A310" s="14" t="s">
        <v>1682</v>
      </c>
      <c r="B310" s="555" t="s">
        <v>1683</v>
      </c>
      <c r="C310" s="446" t="s">
        <v>53</v>
      </c>
      <c r="D310" s="447">
        <v>41757</v>
      </c>
      <c r="E310" s="448">
        <v>30000</v>
      </c>
      <c r="F310" s="449">
        <v>1.3859999999999999</v>
      </c>
      <c r="G310" s="450">
        <f>SUM(E310*F310)</f>
        <v>41580</v>
      </c>
      <c r="H310" s="451"/>
      <c r="I310" s="534">
        <v>41802</v>
      </c>
      <c r="J310" s="449">
        <v>1.333</v>
      </c>
      <c r="K310" s="453">
        <f>SUM(E310*J310)</f>
        <v>39990</v>
      </c>
      <c r="L310" s="454">
        <f>SUM(K310-G310)</f>
        <v>-1590</v>
      </c>
      <c r="M310" s="429">
        <v>0.95</v>
      </c>
      <c r="N310" s="455">
        <f>SUM(L310*M310)</f>
        <v>-1510.5</v>
      </c>
      <c r="O310" s="366"/>
      <c r="P310" s="121"/>
    </row>
    <row r="311" spans="1:16" s="115" customFormat="1" ht="15" customHeight="1">
      <c r="A311" s="14" t="s">
        <v>1361</v>
      </c>
      <c r="B311" s="555" t="s">
        <v>1362</v>
      </c>
      <c r="C311" s="446" t="s">
        <v>53</v>
      </c>
      <c r="D311" s="447">
        <v>41772</v>
      </c>
      <c r="E311" s="448">
        <v>7793</v>
      </c>
      <c r="F311" s="449">
        <v>16.84</v>
      </c>
      <c r="G311" s="450">
        <f>SUM(E311*F311)</f>
        <v>131234.12</v>
      </c>
      <c r="H311" s="451"/>
      <c r="I311" s="534">
        <v>41803</v>
      </c>
      <c r="J311" s="449">
        <v>16.2</v>
      </c>
      <c r="K311" s="453">
        <f>SUM(E311*J311)</f>
        <v>126246.59999999999</v>
      </c>
      <c r="L311" s="454">
        <f>SUM(K311-G311)</f>
        <v>-4987.5200000000041</v>
      </c>
      <c r="M311" s="429">
        <v>0.95</v>
      </c>
      <c r="N311" s="455">
        <f>SUM(L311*M311)</f>
        <v>-4738.1440000000039</v>
      </c>
      <c r="O311" s="366"/>
      <c r="P311" s="121"/>
    </row>
    <row r="312" spans="1:16" s="115" customFormat="1" ht="15" customHeight="1">
      <c r="A312" s="14" t="s">
        <v>1742</v>
      </c>
      <c r="B312" s="555" t="s">
        <v>155</v>
      </c>
      <c r="C312" s="446" t="s">
        <v>53</v>
      </c>
      <c r="D312" s="447">
        <v>41794</v>
      </c>
      <c r="E312" s="448">
        <v>41695</v>
      </c>
      <c r="F312" s="449">
        <v>4.55</v>
      </c>
      <c r="G312" s="450">
        <f>SUM(E312*F312)</f>
        <v>189712.25</v>
      </c>
      <c r="H312" s="451"/>
      <c r="I312" s="534">
        <v>41816</v>
      </c>
      <c r="J312" s="449">
        <v>4.54</v>
      </c>
      <c r="K312" s="453">
        <f>SUM(E312*J312)</f>
        <v>189295.3</v>
      </c>
      <c r="L312" s="454">
        <f>SUM(K312-G312)</f>
        <v>-416.95000000001164</v>
      </c>
      <c r="M312" s="429">
        <v>1</v>
      </c>
      <c r="N312" s="455">
        <f>SUM(L312*M312)</f>
        <v>-416.95000000001164</v>
      </c>
      <c r="O312" s="366"/>
      <c r="P312" s="121"/>
    </row>
    <row r="313" spans="1:16" s="115" customFormat="1" ht="15" customHeight="1">
      <c r="A313" s="14"/>
      <c r="B313" s="446"/>
      <c r="C313" s="446"/>
      <c r="D313" s="447"/>
      <c r="E313" s="448"/>
      <c r="F313" s="449"/>
      <c r="G313" s="450"/>
      <c r="H313" s="451"/>
      <c r="I313" s="534"/>
      <c r="J313" s="449"/>
      <c r="K313" s="453"/>
      <c r="L313" s="454"/>
      <c r="M313" s="429"/>
      <c r="N313" s="455"/>
      <c r="O313" s="366"/>
      <c r="P313" s="121"/>
    </row>
    <row r="314" spans="1:16" s="8" customFormat="1" ht="15" customHeight="1">
      <c r="A314" s="14"/>
      <c r="B314" s="14"/>
      <c r="C314" s="14"/>
      <c r="D314" s="522"/>
      <c r="E314" s="425"/>
      <c r="F314" s="426"/>
      <c r="G314" s="450"/>
      <c r="H314" s="504"/>
      <c r="I314" s="427"/>
      <c r="J314" s="541"/>
      <c r="K314" s="426"/>
      <c r="L314" s="454"/>
      <c r="M314" s="495"/>
      <c r="N314" s="455"/>
      <c r="O314" s="369"/>
      <c r="P314" s="119"/>
    </row>
    <row r="315" spans="1:16" ht="15" customHeight="1">
      <c r="D315" s="522"/>
      <c r="G315" s="450"/>
      <c r="H315" s="504"/>
      <c r="J315" s="541"/>
      <c r="L315" s="454"/>
      <c r="M315" s="495"/>
      <c r="O315" s="369"/>
    </row>
    <row r="316" spans="1:16" s="14" customFormat="1" ht="16.5" thickBot="1">
      <c r="A316" s="39" t="s">
        <v>35</v>
      </c>
      <c r="B316" s="39"/>
      <c r="C316" s="39"/>
      <c r="D316" s="39"/>
      <c r="E316" s="39"/>
      <c r="F316" s="40"/>
      <c r="G316" s="40"/>
      <c r="H316" s="41"/>
      <c r="I316" s="42"/>
      <c r="J316" s="41"/>
      <c r="K316" s="40"/>
      <c r="L316" s="292"/>
      <c r="M316" s="252"/>
      <c r="N316" s="237">
        <f>SUM(N27:N315)</f>
        <v>42282.342782224005</v>
      </c>
      <c r="O316" s="424"/>
      <c r="P316" s="118"/>
    </row>
    <row r="317" spans="1:16" ht="11.25" customHeight="1" thickTop="1">
      <c r="A317" s="456"/>
      <c r="B317" s="456"/>
      <c r="C317" s="456"/>
      <c r="D317" s="542"/>
      <c r="E317" s="484"/>
      <c r="F317" s="470"/>
      <c r="G317" s="470"/>
      <c r="H317" s="542"/>
      <c r="I317" s="485"/>
      <c r="J317" s="542"/>
      <c r="K317" s="470"/>
      <c r="L317" s="474"/>
      <c r="M317" s="466"/>
      <c r="N317" s="475"/>
      <c r="O317" s="369"/>
    </row>
  </sheetData>
  <sortState ref="A14:U18">
    <sortCondition ref="B14:B1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62:L63 L74 L82 L83 L94 L107:L108 L109 L120 L130:L131 L135 L142 L146:L149 L168 L206 L218 L2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438"/>
  <sheetViews>
    <sheetView zoomScale="85" zoomScaleNormal="85" workbookViewId="0">
      <selection activeCell="O426" sqref="O426"/>
    </sheetView>
  </sheetViews>
  <sheetFormatPr defaultColWidth="9.140625" defaultRowHeight="11.25" customHeight="1"/>
  <cols>
    <col min="1" max="1" width="26.140625" style="425" customWidth="1"/>
    <col min="2" max="2" width="7.42578125" style="14" customWidth="1"/>
    <col min="3" max="3" width="4.42578125" style="14" customWidth="1"/>
    <col min="4" max="4" width="13.28515625" style="425" customWidth="1"/>
    <col min="5" max="5" width="10" style="425" customWidth="1"/>
    <col min="6" max="6" width="11.140625" style="635" customWidth="1"/>
    <col min="7" max="7" width="14" style="636" customWidth="1"/>
    <col min="8" max="8" width="3.140625" style="425" customWidth="1"/>
    <col min="9" max="9" width="13.7109375" style="427" customWidth="1"/>
    <col min="10" max="10" width="10.42578125" style="635" customWidth="1"/>
    <col min="11" max="11" width="17" style="636" customWidth="1"/>
    <col min="12" max="12" width="13.28515625" style="637" customWidth="1"/>
    <col min="13" max="13" width="11.7109375" style="759" customWidth="1"/>
    <col min="14" max="14" width="13.5703125" style="431" customWidth="1"/>
    <col min="15" max="15" width="74.7109375" style="539" customWidth="1"/>
    <col min="16" max="16" width="8.85546875" customWidth="1"/>
    <col min="17" max="16384" width="9.140625" style="1"/>
  </cols>
  <sheetData>
    <row r="2" spans="1:16" s="3" customFormat="1" ht="15.75">
      <c r="A2" s="11" t="s">
        <v>878</v>
      </c>
      <c r="B2" s="14"/>
      <c r="C2" s="14"/>
      <c r="D2" s="14"/>
      <c r="E2" s="14"/>
      <c r="F2" s="623"/>
      <c r="G2" s="624" t="s">
        <v>3</v>
      </c>
      <c r="H2" s="14"/>
      <c r="I2" s="625"/>
      <c r="J2" s="625"/>
      <c r="K2" s="626"/>
      <c r="L2" s="624"/>
      <c r="M2" s="624"/>
      <c r="N2" s="809"/>
      <c r="O2" s="627"/>
      <c r="P2" s="316"/>
    </row>
    <row r="3" spans="1:16" s="3" customFormat="1" ht="9" customHeight="1">
      <c r="A3" s="11"/>
      <c r="B3" s="14"/>
      <c r="C3" s="14"/>
      <c r="D3" s="14"/>
      <c r="E3" s="14"/>
      <c r="F3" s="623"/>
      <c r="G3" s="626"/>
      <c r="H3" s="14"/>
      <c r="I3" s="625"/>
      <c r="J3" s="623"/>
      <c r="K3" s="626"/>
      <c r="L3" s="628"/>
      <c r="M3" s="629"/>
      <c r="N3" s="440"/>
      <c r="O3" s="627"/>
      <c r="P3" s="316"/>
    </row>
    <row r="4" spans="1:16" s="7" customFormat="1" ht="16.5" thickBot="1">
      <c r="A4" s="432">
        <f>SUM(K6+K42)</f>
        <v>276806.61100000021</v>
      </c>
      <c r="B4" s="11"/>
      <c r="C4" s="11"/>
      <c r="D4" s="11"/>
      <c r="E4" s="11"/>
      <c r="F4" s="630"/>
      <c r="G4" s="631"/>
      <c r="H4" s="11"/>
      <c r="I4" s="632"/>
      <c r="J4" s="633"/>
      <c r="K4" s="631"/>
      <c r="L4" s="634"/>
      <c r="M4" s="634"/>
      <c r="N4" s="809"/>
      <c r="O4" s="11"/>
    </row>
    <row r="5" spans="1:16" s="11" customFormat="1" ht="16.5" thickTop="1">
      <c r="A5" s="433"/>
      <c r="B5" s="14"/>
      <c r="C5" s="14"/>
      <c r="D5" s="439"/>
      <c r="E5" s="14"/>
      <c r="F5" s="623"/>
      <c r="G5" s="626"/>
      <c r="H5" s="502"/>
      <c r="I5" s="522"/>
      <c r="J5" s="635"/>
      <c r="K5" s="636"/>
      <c r="L5" s="637"/>
      <c r="M5" s="629"/>
      <c r="N5" s="431"/>
    </row>
    <row r="6" spans="1:16" s="14" customFormat="1" ht="15.75">
      <c r="A6" s="638"/>
      <c r="B6" s="204"/>
      <c r="C6" s="204"/>
      <c r="D6" s="204"/>
      <c r="E6" s="204" t="s">
        <v>664</v>
      </c>
      <c r="F6" s="639"/>
      <c r="G6" s="208"/>
      <c r="H6" s="204"/>
      <c r="I6" s="207"/>
      <c r="J6" s="209"/>
      <c r="K6" s="226">
        <f>SUM(N37)</f>
        <v>123642.28999999998</v>
      </c>
      <c r="L6" s="640"/>
      <c r="M6" s="210"/>
      <c r="N6" s="283"/>
    </row>
    <row r="7" spans="1:16" s="2" customFormat="1" ht="15.75">
      <c r="A7" s="425"/>
      <c r="B7" s="14" t="s">
        <v>668</v>
      </c>
      <c r="C7" s="14" t="s">
        <v>181</v>
      </c>
      <c r="D7" s="14" t="s">
        <v>17</v>
      </c>
      <c r="E7" s="14" t="s">
        <v>26</v>
      </c>
      <c r="F7" s="623" t="s">
        <v>19</v>
      </c>
      <c r="G7" s="626" t="s">
        <v>675</v>
      </c>
      <c r="H7" s="14"/>
      <c r="I7" s="439" t="s">
        <v>886</v>
      </c>
      <c r="J7" s="623" t="s">
        <v>681</v>
      </c>
      <c r="K7" s="626" t="s">
        <v>674</v>
      </c>
      <c r="L7" s="628" t="s">
        <v>890</v>
      </c>
      <c r="M7" s="629" t="s">
        <v>27</v>
      </c>
      <c r="N7" s="440" t="s">
        <v>15</v>
      </c>
      <c r="O7" s="14"/>
    </row>
    <row r="8" spans="1:16" s="2" customFormat="1" ht="15.75">
      <c r="A8" s="425"/>
      <c r="B8" s="14" t="s">
        <v>0</v>
      </c>
      <c r="C8" s="14"/>
      <c r="D8" s="14" t="s">
        <v>25</v>
      </c>
      <c r="E8" s="14" t="s">
        <v>21</v>
      </c>
      <c r="F8" s="623" t="s">
        <v>673</v>
      </c>
      <c r="G8" s="626" t="s">
        <v>884</v>
      </c>
      <c r="H8" s="14"/>
      <c r="I8" s="439" t="s">
        <v>887</v>
      </c>
      <c r="J8" s="623" t="s">
        <v>888</v>
      </c>
      <c r="K8" s="626" t="s">
        <v>884</v>
      </c>
      <c r="L8" s="628" t="s">
        <v>884</v>
      </c>
      <c r="M8" s="629" t="s">
        <v>891</v>
      </c>
      <c r="N8" s="440" t="s">
        <v>884</v>
      </c>
      <c r="O8" s="14"/>
    </row>
    <row r="9" spans="1:16" s="2" customFormat="1" ht="15.75">
      <c r="A9" s="425"/>
      <c r="B9" s="14"/>
      <c r="C9" s="14"/>
      <c r="D9" s="14"/>
      <c r="E9" s="14"/>
      <c r="F9" s="623"/>
      <c r="G9" s="626"/>
      <c r="H9" s="14"/>
      <c r="I9" s="641"/>
      <c r="J9" s="623"/>
      <c r="K9" s="626"/>
      <c r="L9" s="628"/>
      <c r="M9" s="629" t="s">
        <v>884</v>
      </c>
      <c r="N9" s="440"/>
      <c r="O9" s="14"/>
    </row>
    <row r="10" spans="1:16" s="115" customFormat="1" ht="15" customHeight="1">
      <c r="A10" s="642" t="s">
        <v>1531</v>
      </c>
      <c r="B10" s="554" t="s">
        <v>1359</v>
      </c>
      <c r="C10" s="392" t="s">
        <v>53</v>
      </c>
      <c r="D10" s="569" t="s">
        <v>3</v>
      </c>
      <c r="E10" s="570">
        <v>1</v>
      </c>
      <c r="F10" s="661">
        <v>1</v>
      </c>
      <c r="G10" s="644">
        <f>SUM(E10*F10)</f>
        <v>1</v>
      </c>
      <c r="H10" s="573"/>
      <c r="I10" s="574">
        <v>1</v>
      </c>
      <c r="J10" s="827">
        <v>1</v>
      </c>
      <c r="K10" s="645">
        <f>SUM(E10*J10)</f>
        <v>1</v>
      </c>
      <c r="L10" s="646">
        <f>SUM(K10-G10)</f>
        <v>0</v>
      </c>
      <c r="M10" s="647">
        <v>1</v>
      </c>
      <c r="N10" s="576">
        <f>SUM(L10*M10)</f>
        <v>0</v>
      </c>
      <c r="O10" s="648" t="s">
        <v>3</v>
      </c>
      <c r="P10" s="322"/>
    </row>
    <row r="11" spans="1:16" s="117" customFormat="1" ht="15" customHeight="1">
      <c r="A11" s="484" t="s">
        <v>1575</v>
      </c>
      <c r="B11" s="605" t="s">
        <v>33</v>
      </c>
      <c r="C11" s="457" t="s">
        <v>78</v>
      </c>
      <c r="D11" s="458">
        <v>36893</v>
      </c>
      <c r="E11" s="459">
        <v>1</v>
      </c>
      <c r="F11" s="821">
        <v>1</v>
      </c>
      <c r="G11" s="650">
        <f>SUM(E11*F11)</f>
        <v>1</v>
      </c>
      <c r="H11" s="462"/>
      <c r="I11" s="452"/>
      <c r="J11" s="828">
        <v>1</v>
      </c>
      <c r="K11" s="651">
        <f>SUM(E11*J11)</f>
        <v>1</v>
      </c>
      <c r="L11" s="652">
        <f>SUM(G11-K11)</f>
        <v>0</v>
      </c>
      <c r="M11" s="653">
        <v>1</v>
      </c>
      <c r="N11" s="465">
        <f>SUM(L11*M11)</f>
        <v>0</v>
      </c>
      <c r="O11" s="654"/>
    </row>
    <row r="12" spans="1:16" s="117" customFormat="1" ht="15" customHeight="1">
      <c r="A12" s="484"/>
      <c r="B12" s="605"/>
      <c r="C12" s="457"/>
      <c r="D12" s="447"/>
      <c r="E12" s="448"/>
      <c r="F12" s="655"/>
      <c r="G12" s="656"/>
      <c r="H12" s="451"/>
      <c r="I12" s="452"/>
      <c r="J12" s="829"/>
      <c r="K12" s="636"/>
      <c r="L12" s="637"/>
      <c r="M12" s="657"/>
      <c r="N12" s="465"/>
      <c r="O12" s="654"/>
    </row>
    <row r="13" spans="1:16" s="115" customFormat="1" ht="15" customHeight="1">
      <c r="A13" s="642" t="s">
        <v>607</v>
      </c>
      <c r="B13" s="554" t="s">
        <v>608</v>
      </c>
      <c r="C13" s="392" t="s">
        <v>53</v>
      </c>
      <c r="D13" s="569">
        <v>41810</v>
      </c>
      <c r="E13" s="570">
        <v>5038</v>
      </c>
      <c r="F13" s="661">
        <v>41.14</v>
      </c>
      <c r="G13" s="644">
        <f t="shared" ref="G13:G33" si="0">SUM(E13*F13)</f>
        <v>207263.32</v>
      </c>
      <c r="H13" s="573"/>
      <c r="I13" s="574">
        <v>39.840000000000003</v>
      </c>
      <c r="J13" s="827">
        <v>41.3</v>
      </c>
      <c r="K13" s="645">
        <f t="shared" ref="K13:K33" si="1">SUM(E13*J13)</f>
        <v>208069.4</v>
      </c>
      <c r="L13" s="646">
        <f t="shared" ref="L13:L26" si="2">SUM(K13-G13)</f>
        <v>806.07999999998719</v>
      </c>
      <c r="M13" s="647">
        <v>1</v>
      </c>
      <c r="N13" s="576">
        <f t="shared" ref="N13:N33" si="3">SUM(L13*M13)</f>
        <v>806.07999999998719</v>
      </c>
      <c r="O13" s="648" t="s">
        <v>3</v>
      </c>
      <c r="P13" s="322"/>
    </row>
    <row r="14" spans="1:16" s="115" customFormat="1" ht="15" customHeight="1">
      <c r="A14" s="642" t="s">
        <v>1760</v>
      </c>
      <c r="B14" s="554" t="s">
        <v>653</v>
      </c>
      <c r="C14" s="392" t="s">
        <v>53</v>
      </c>
      <c r="D14" s="569">
        <v>41809</v>
      </c>
      <c r="E14" s="570">
        <v>2706</v>
      </c>
      <c r="F14" s="661">
        <v>105.28</v>
      </c>
      <c r="G14" s="644">
        <f t="shared" si="0"/>
        <v>284887.67999999999</v>
      </c>
      <c r="H14" s="573"/>
      <c r="I14" s="574">
        <v>102.86</v>
      </c>
      <c r="J14" s="827">
        <v>104.6</v>
      </c>
      <c r="K14" s="645">
        <f t="shared" si="1"/>
        <v>283047.59999999998</v>
      </c>
      <c r="L14" s="646">
        <f t="shared" si="2"/>
        <v>-1840.0800000000163</v>
      </c>
      <c r="M14" s="647">
        <v>1</v>
      </c>
      <c r="N14" s="576">
        <f t="shared" si="3"/>
        <v>-1840.0800000000163</v>
      </c>
      <c r="O14" s="648" t="s">
        <v>3</v>
      </c>
      <c r="P14" s="322"/>
    </row>
    <row r="15" spans="1:16" s="115" customFormat="1" ht="15" customHeight="1">
      <c r="A15" s="642" t="s">
        <v>1126</v>
      </c>
      <c r="B15" s="554" t="s">
        <v>838</v>
      </c>
      <c r="C15" s="392" t="s">
        <v>53</v>
      </c>
      <c r="D15" s="569">
        <v>41827</v>
      </c>
      <c r="E15" s="570">
        <v>4289</v>
      </c>
      <c r="F15" s="661">
        <v>46.22</v>
      </c>
      <c r="G15" s="644">
        <f t="shared" si="0"/>
        <v>198237.58</v>
      </c>
      <c r="H15" s="573"/>
      <c r="I15" s="574">
        <v>44.58</v>
      </c>
      <c r="J15" s="827">
        <v>47.85</v>
      </c>
      <c r="K15" s="645">
        <f t="shared" si="1"/>
        <v>205228.65</v>
      </c>
      <c r="L15" s="646">
        <f t="shared" si="2"/>
        <v>6991.070000000007</v>
      </c>
      <c r="M15" s="647">
        <v>1</v>
      </c>
      <c r="N15" s="576">
        <f t="shared" si="3"/>
        <v>6991.070000000007</v>
      </c>
      <c r="O15" s="648" t="s">
        <v>3</v>
      </c>
      <c r="P15" s="322"/>
    </row>
    <row r="16" spans="1:16" s="117" customFormat="1" ht="15" customHeight="1">
      <c r="A16" s="642" t="s">
        <v>1781</v>
      </c>
      <c r="B16" s="554" t="s">
        <v>569</v>
      </c>
      <c r="C16" s="392" t="s">
        <v>53</v>
      </c>
      <c r="D16" s="569">
        <v>41830</v>
      </c>
      <c r="E16" s="570">
        <v>2922</v>
      </c>
      <c r="F16" s="661">
        <v>91.22</v>
      </c>
      <c r="G16" s="644">
        <f t="shared" si="0"/>
        <v>266544.84000000003</v>
      </c>
      <c r="H16" s="573"/>
      <c r="I16" s="574">
        <v>88.78</v>
      </c>
      <c r="J16" s="827">
        <v>91.64</v>
      </c>
      <c r="K16" s="645">
        <f t="shared" si="1"/>
        <v>267772.08</v>
      </c>
      <c r="L16" s="646">
        <f t="shared" si="2"/>
        <v>1227.2399999999907</v>
      </c>
      <c r="M16" s="647">
        <v>1</v>
      </c>
      <c r="N16" s="576">
        <f t="shared" si="3"/>
        <v>1227.2399999999907</v>
      </c>
      <c r="O16" s="648" t="s">
        <v>3</v>
      </c>
      <c r="P16" s="322"/>
    </row>
    <row r="17" spans="1:16" s="115" customFormat="1" ht="15" customHeight="1">
      <c r="A17" s="642" t="s">
        <v>1724</v>
      </c>
      <c r="B17" s="554" t="s">
        <v>1013</v>
      </c>
      <c r="C17" s="392" t="s">
        <v>53</v>
      </c>
      <c r="D17" s="569">
        <v>41786</v>
      </c>
      <c r="E17" s="570">
        <v>1925</v>
      </c>
      <c r="F17" s="661">
        <v>89.03</v>
      </c>
      <c r="G17" s="644">
        <f t="shared" si="0"/>
        <v>171382.75</v>
      </c>
      <c r="H17" s="573"/>
      <c r="I17" s="574">
        <v>85.87</v>
      </c>
      <c r="J17" s="827">
        <v>90.09</v>
      </c>
      <c r="K17" s="645">
        <f t="shared" si="1"/>
        <v>173423.25</v>
      </c>
      <c r="L17" s="646">
        <f t="shared" si="2"/>
        <v>2040.5</v>
      </c>
      <c r="M17" s="647">
        <v>1</v>
      </c>
      <c r="N17" s="576">
        <f t="shared" si="3"/>
        <v>2040.5</v>
      </c>
      <c r="O17" s="648" t="s">
        <v>3</v>
      </c>
      <c r="P17" s="322"/>
    </row>
    <row r="18" spans="1:16" s="115" customFormat="1" ht="15" customHeight="1">
      <c r="A18" s="642" t="s">
        <v>1014</v>
      </c>
      <c r="B18" s="554" t="s">
        <v>79</v>
      </c>
      <c r="C18" s="392" t="s">
        <v>53</v>
      </c>
      <c r="D18" s="569">
        <v>41789</v>
      </c>
      <c r="E18" s="570">
        <v>3353</v>
      </c>
      <c r="F18" s="661">
        <v>68.290000000000006</v>
      </c>
      <c r="G18" s="644">
        <f t="shared" si="0"/>
        <v>228976.37000000002</v>
      </c>
      <c r="H18" s="573"/>
      <c r="I18" s="574">
        <v>66.91</v>
      </c>
      <c r="J18" s="827">
        <v>69.52</v>
      </c>
      <c r="K18" s="645">
        <f t="shared" si="1"/>
        <v>233100.56</v>
      </c>
      <c r="L18" s="646">
        <f t="shared" si="2"/>
        <v>4124.1899999999732</v>
      </c>
      <c r="M18" s="647">
        <v>1</v>
      </c>
      <c r="N18" s="576">
        <f t="shared" si="3"/>
        <v>4124.1899999999732</v>
      </c>
      <c r="O18" s="648" t="s">
        <v>3</v>
      </c>
      <c r="P18" s="322"/>
    </row>
    <row r="19" spans="1:16" s="115" customFormat="1" ht="15" customHeight="1">
      <c r="A19" s="642" t="s">
        <v>1213</v>
      </c>
      <c r="B19" s="554" t="s">
        <v>1214</v>
      </c>
      <c r="C19" s="392" t="s">
        <v>53</v>
      </c>
      <c r="D19" s="569">
        <v>41795</v>
      </c>
      <c r="E19" s="570">
        <v>6606</v>
      </c>
      <c r="F19" s="661">
        <v>29.92</v>
      </c>
      <c r="G19" s="644">
        <f t="shared" si="0"/>
        <v>197651.52000000002</v>
      </c>
      <c r="H19" s="573"/>
      <c r="I19" s="574">
        <v>30.42</v>
      </c>
      <c r="J19" s="827">
        <v>31</v>
      </c>
      <c r="K19" s="645">
        <f t="shared" si="1"/>
        <v>204786</v>
      </c>
      <c r="L19" s="646">
        <f t="shared" si="2"/>
        <v>7134.4799999999814</v>
      </c>
      <c r="M19" s="647">
        <v>1</v>
      </c>
      <c r="N19" s="576">
        <f t="shared" si="3"/>
        <v>7134.4799999999814</v>
      </c>
      <c r="O19" s="648" t="s">
        <v>3</v>
      </c>
      <c r="P19" s="322"/>
    </row>
    <row r="20" spans="1:16" s="115" customFormat="1" ht="15" customHeight="1">
      <c r="A20" s="642" t="s">
        <v>1739</v>
      </c>
      <c r="B20" s="554" t="s">
        <v>1740</v>
      </c>
      <c r="C20" s="392" t="s">
        <v>53</v>
      </c>
      <c r="D20" s="569">
        <v>41792</v>
      </c>
      <c r="E20" s="570">
        <v>2361</v>
      </c>
      <c r="F20" s="661">
        <v>71.33</v>
      </c>
      <c r="G20" s="644">
        <f t="shared" si="0"/>
        <v>168410.13</v>
      </c>
      <c r="H20" s="573"/>
      <c r="I20" s="574">
        <v>71.2</v>
      </c>
      <c r="J20" s="827">
        <v>73.08</v>
      </c>
      <c r="K20" s="645">
        <f t="shared" si="1"/>
        <v>172541.88</v>
      </c>
      <c r="L20" s="646">
        <f t="shared" si="2"/>
        <v>4131.75</v>
      </c>
      <c r="M20" s="647">
        <v>1</v>
      </c>
      <c r="N20" s="576">
        <f t="shared" si="3"/>
        <v>4131.75</v>
      </c>
      <c r="O20" s="648" t="s">
        <v>3</v>
      </c>
      <c r="P20" s="322"/>
    </row>
    <row r="21" spans="1:16" s="115" customFormat="1" ht="15" customHeight="1">
      <c r="A21" s="642" t="s">
        <v>1637</v>
      </c>
      <c r="B21" s="554" t="s">
        <v>1322</v>
      </c>
      <c r="C21" s="392" t="s">
        <v>53</v>
      </c>
      <c r="D21" s="569">
        <v>41732</v>
      </c>
      <c r="E21" s="570">
        <v>3172</v>
      </c>
      <c r="F21" s="661">
        <v>84.67</v>
      </c>
      <c r="G21" s="644">
        <f t="shared" si="0"/>
        <v>268573.24</v>
      </c>
      <c r="H21" s="573"/>
      <c r="I21" s="574">
        <v>95.56</v>
      </c>
      <c r="J21" s="827">
        <v>97.84</v>
      </c>
      <c r="K21" s="645">
        <f t="shared" si="1"/>
        <v>310348.48000000004</v>
      </c>
      <c r="L21" s="646">
        <f t="shared" si="2"/>
        <v>41775.240000000049</v>
      </c>
      <c r="M21" s="647">
        <v>1</v>
      </c>
      <c r="N21" s="576">
        <f t="shared" si="3"/>
        <v>41775.240000000049</v>
      </c>
      <c r="O21" s="648" t="s">
        <v>3</v>
      </c>
      <c r="P21" s="322"/>
    </row>
    <row r="22" spans="1:16" s="115" customFormat="1" ht="15" customHeight="1">
      <c r="A22" s="642" t="s">
        <v>1618</v>
      </c>
      <c r="B22" s="554" t="s">
        <v>1617</v>
      </c>
      <c r="C22" s="392" t="s">
        <v>53</v>
      </c>
      <c r="D22" s="569">
        <v>41717</v>
      </c>
      <c r="E22" s="570">
        <v>4813</v>
      </c>
      <c r="F22" s="661">
        <v>30.88</v>
      </c>
      <c r="G22" s="644">
        <f t="shared" si="0"/>
        <v>148625.44</v>
      </c>
      <c r="H22" s="573"/>
      <c r="I22" s="574">
        <v>33.049999999999997</v>
      </c>
      <c r="J22" s="827">
        <v>33.97</v>
      </c>
      <c r="K22" s="645">
        <f t="shared" si="1"/>
        <v>163497.60999999999</v>
      </c>
      <c r="L22" s="646">
        <f t="shared" si="2"/>
        <v>14872.169999999984</v>
      </c>
      <c r="M22" s="647">
        <v>1</v>
      </c>
      <c r="N22" s="576">
        <f t="shared" si="3"/>
        <v>14872.169999999984</v>
      </c>
      <c r="O22" s="648" t="s">
        <v>3</v>
      </c>
      <c r="P22" s="322"/>
    </row>
    <row r="23" spans="1:16" s="115" customFormat="1" ht="15" customHeight="1">
      <c r="A23" s="642" t="s">
        <v>1763</v>
      </c>
      <c r="B23" s="554" t="s">
        <v>1764</v>
      </c>
      <c r="C23" s="392" t="s">
        <v>53</v>
      </c>
      <c r="D23" s="569">
        <v>41810</v>
      </c>
      <c r="E23" s="570">
        <v>2059</v>
      </c>
      <c r="F23" s="661">
        <v>113.27</v>
      </c>
      <c r="G23" s="644">
        <f t="shared" si="0"/>
        <v>233222.93</v>
      </c>
      <c r="H23" s="573"/>
      <c r="I23" s="574">
        <v>110.09</v>
      </c>
      <c r="J23" s="827">
        <v>112.61</v>
      </c>
      <c r="K23" s="645">
        <f t="shared" si="1"/>
        <v>231863.99</v>
      </c>
      <c r="L23" s="646">
        <f t="shared" si="2"/>
        <v>-1358.9400000000023</v>
      </c>
      <c r="M23" s="647">
        <v>1</v>
      </c>
      <c r="N23" s="576">
        <f t="shared" si="3"/>
        <v>-1358.9400000000023</v>
      </c>
      <c r="O23" s="648" t="s">
        <v>3</v>
      </c>
      <c r="P23" s="322"/>
    </row>
    <row r="24" spans="1:16" s="115" customFormat="1" ht="15" customHeight="1">
      <c r="A24" s="642" t="s">
        <v>1782</v>
      </c>
      <c r="B24" s="554" t="s">
        <v>1783</v>
      </c>
      <c r="C24" s="392" t="s">
        <v>53</v>
      </c>
      <c r="D24" s="569">
        <v>41829</v>
      </c>
      <c r="E24" s="570">
        <v>1479</v>
      </c>
      <c r="F24" s="661">
        <v>111.28</v>
      </c>
      <c r="G24" s="644">
        <f t="shared" si="0"/>
        <v>164583.12</v>
      </c>
      <c r="H24" s="573"/>
      <c r="I24" s="574">
        <v>106.46</v>
      </c>
      <c r="J24" s="827">
        <v>112.05</v>
      </c>
      <c r="K24" s="645">
        <f t="shared" si="1"/>
        <v>165721.94999999998</v>
      </c>
      <c r="L24" s="646">
        <f t="shared" si="2"/>
        <v>1138.8299999999872</v>
      </c>
      <c r="M24" s="647">
        <v>1</v>
      </c>
      <c r="N24" s="576">
        <f t="shared" si="3"/>
        <v>1138.8299999999872</v>
      </c>
      <c r="O24" s="648" t="s">
        <v>3</v>
      </c>
      <c r="P24" s="322"/>
    </row>
    <row r="25" spans="1:16" s="115" customFormat="1" ht="15" customHeight="1">
      <c r="A25" s="642" t="s">
        <v>1778</v>
      </c>
      <c r="B25" s="554" t="s">
        <v>1216</v>
      </c>
      <c r="C25" s="392" t="s">
        <v>53</v>
      </c>
      <c r="D25" s="569">
        <v>41823</v>
      </c>
      <c r="E25" s="570">
        <v>2674</v>
      </c>
      <c r="F25" s="661">
        <v>72.91</v>
      </c>
      <c r="G25" s="644">
        <f t="shared" si="0"/>
        <v>194961.34</v>
      </c>
      <c r="H25" s="573"/>
      <c r="I25" s="574">
        <v>70.33</v>
      </c>
      <c r="J25" s="827">
        <v>71.27</v>
      </c>
      <c r="K25" s="645">
        <f t="shared" si="1"/>
        <v>190575.97999999998</v>
      </c>
      <c r="L25" s="646">
        <f t="shared" si="2"/>
        <v>-4385.3600000000151</v>
      </c>
      <c r="M25" s="647">
        <v>1</v>
      </c>
      <c r="N25" s="576">
        <f t="shared" si="3"/>
        <v>-4385.3600000000151</v>
      </c>
      <c r="O25" s="648" t="s">
        <v>3</v>
      </c>
      <c r="P25" s="322"/>
    </row>
    <row r="26" spans="1:16" s="115" customFormat="1" ht="15" customHeight="1">
      <c r="A26" s="642" t="s">
        <v>1733</v>
      </c>
      <c r="B26" s="554" t="s">
        <v>1734</v>
      </c>
      <c r="C26" s="392" t="s">
        <v>53</v>
      </c>
      <c r="D26" s="569">
        <v>41789</v>
      </c>
      <c r="E26" s="570">
        <v>2816</v>
      </c>
      <c r="F26" s="661">
        <v>88.12</v>
      </c>
      <c r="G26" s="644">
        <f t="shared" si="0"/>
        <v>248145.92000000001</v>
      </c>
      <c r="H26" s="573"/>
      <c r="I26" s="574">
        <v>88.19</v>
      </c>
      <c r="J26" s="827">
        <v>89.85</v>
      </c>
      <c r="K26" s="645">
        <f t="shared" si="1"/>
        <v>253017.59999999998</v>
      </c>
      <c r="L26" s="646">
        <f t="shared" si="2"/>
        <v>4871.6799999999639</v>
      </c>
      <c r="M26" s="647">
        <v>1</v>
      </c>
      <c r="N26" s="576">
        <f t="shared" si="3"/>
        <v>4871.6799999999639</v>
      </c>
      <c r="O26" s="648" t="s">
        <v>3</v>
      </c>
      <c r="P26" s="322"/>
    </row>
    <row r="27" spans="1:16" s="115" customFormat="1" ht="15" customHeight="1">
      <c r="A27" s="484" t="s">
        <v>1452</v>
      </c>
      <c r="B27" s="605" t="s">
        <v>1453</v>
      </c>
      <c r="C27" s="457" t="s">
        <v>78</v>
      </c>
      <c r="D27" s="458">
        <v>41828</v>
      </c>
      <c r="E27" s="459">
        <v>2242</v>
      </c>
      <c r="F27" s="821">
        <v>70.37</v>
      </c>
      <c r="G27" s="650">
        <f t="shared" si="0"/>
        <v>157769.54</v>
      </c>
      <c r="H27" s="462"/>
      <c r="I27" s="452">
        <v>73.55</v>
      </c>
      <c r="J27" s="828">
        <v>70.84</v>
      </c>
      <c r="K27" s="651">
        <f t="shared" si="1"/>
        <v>158823.28</v>
      </c>
      <c r="L27" s="652">
        <f>SUM(G27-K27)</f>
        <v>-1053.7399999999907</v>
      </c>
      <c r="M27" s="653">
        <v>1</v>
      </c>
      <c r="N27" s="465">
        <f t="shared" si="3"/>
        <v>-1053.7399999999907</v>
      </c>
      <c r="O27" s="654"/>
      <c r="P27" s="117"/>
    </row>
    <row r="28" spans="1:16" s="115" customFormat="1" ht="15" customHeight="1">
      <c r="A28" s="642" t="s">
        <v>493</v>
      </c>
      <c r="B28" s="554" t="s">
        <v>494</v>
      </c>
      <c r="C28" s="392" t="s">
        <v>53</v>
      </c>
      <c r="D28" s="569">
        <v>41796</v>
      </c>
      <c r="E28" s="570">
        <v>873</v>
      </c>
      <c r="F28" s="661">
        <v>205.16</v>
      </c>
      <c r="G28" s="644">
        <f t="shared" si="0"/>
        <v>179104.68</v>
      </c>
      <c r="H28" s="573"/>
      <c r="I28" s="574">
        <v>198.05</v>
      </c>
      <c r="J28" s="827">
        <v>208.03</v>
      </c>
      <c r="K28" s="645">
        <f t="shared" si="1"/>
        <v>181610.19</v>
      </c>
      <c r="L28" s="646">
        <f t="shared" ref="L28:L33" si="4">SUM(K28-G28)</f>
        <v>2505.5100000000093</v>
      </c>
      <c r="M28" s="647">
        <v>1</v>
      </c>
      <c r="N28" s="576">
        <f t="shared" si="3"/>
        <v>2505.5100000000093</v>
      </c>
      <c r="O28" s="648" t="s">
        <v>3</v>
      </c>
      <c r="P28" s="322"/>
    </row>
    <row r="29" spans="1:16" s="115" customFormat="1" ht="15" customHeight="1">
      <c r="A29" s="642" t="s">
        <v>1657</v>
      </c>
      <c r="B29" s="554" t="s">
        <v>1658</v>
      </c>
      <c r="C29" s="392" t="s">
        <v>53</v>
      </c>
      <c r="D29" s="569">
        <v>41739</v>
      </c>
      <c r="E29" s="570">
        <v>6726</v>
      </c>
      <c r="F29" s="661">
        <v>35.01</v>
      </c>
      <c r="G29" s="644">
        <f t="shared" si="0"/>
        <v>235477.25999999998</v>
      </c>
      <c r="H29" s="573"/>
      <c r="I29" s="574">
        <v>36.71</v>
      </c>
      <c r="J29" s="827">
        <v>37</v>
      </c>
      <c r="K29" s="645">
        <f t="shared" si="1"/>
        <v>248862</v>
      </c>
      <c r="L29" s="646">
        <f t="shared" si="4"/>
        <v>13384.74000000002</v>
      </c>
      <c r="M29" s="647">
        <v>1</v>
      </c>
      <c r="N29" s="576">
        <f t="shared" si="3"/>
        <v>13384.74000000002</v>
      </c>
      <c r="O29" s="648" t="s">
        <v>3</v>
      </c>
      <c r="P29" s="322"/>
    </row>
    <row r="30" spans="1:16" s="115" customFormat="1" ht="15" customHeight="1">
      <c r="A30" s="642" t="s">
        <v>1735</v>
      </c>
      <c r="B30" s="554" t="s">
        <v>1727</v>
      </c>
      <c r="C30" s="392" t="s">
        <v>53</v>
      </c>
      <c r="D30" s="569" t="s">
        <v>1736</v>
      </c>
      <c r="E30" s="570">
        <v>2163</v>
      </c>
      <c r="F30" s="661">
        <v>98.25</v>
      </c>
      <c r="G30" s="644">
        <f t="shared" si="0"/>
        <v>212514.75</v>
      </c>
      <c r="H30" s="573"/>
      <c r="I30" s="574">
        <v>97.92</v>
      </c>
      <c r="J30" s="827">
        <v>101.71</v>
      </c>
      <c r="K30" s="645">
        <f t="shared" si="1"/>
        <v>219998.72999999998</v>
      </c>
      <c r="L30" s="646">
        <f t="shared" si="4"/>
        <v>7483.9799999999814</v>
      </c>
      <c r="M30" s="647">
        <v>1</v>
      </c>
      <c r="N30" s="576">
        <f t="shared" si="3"/>
        <v>7483.9799999999814</v>
      </c>
      <c r="O30" s="648" t="s">
        <v>3</v>
      </c>
      <c r="P30" s="322"/>
    </row>
    <row r="31" spans="1:16" s="117" customFormat="1" ht="15" customHeight="1">
      <c r="A31" s="642" t="s">
        <v>1297</v>
      </c>
      <c r="B31" s="554" t="s">
        <v>492</v>
      </c>
      <c r="C31" s="392" t="s">
        <v>53</v>
      </c>
      <c r="D31" s="569">
        <v>41711</v>
      </c>
      <c r="E31" s="570">
        <v>1758</v>
      </c>
      <c r="F31" s="661">
        <v>95.95</v>
      </c>
      <c r="G31" s="644">
        <f t="shared" si="0"/>
        <v>168680.1</v>
      </c>
      <c r="H31" s="573"/>
      <c r="I31" s="574">
        <v>98.56</v>
      </c>
      <c r="J31" s="827">
        <v>102.24</v>
      </c>
      <c r="K31" s="645">
        <f t="shared" si="1"/>
        <v>179737.91999999998</v>
      </c>
      <c r="L31" s="646">
        <f t="shared" si="4"/>
        <v>11057.819999999978</v>
      </c>
      <c r="M31" s="647">
        <v>1</v>
      </c>
      <c r="N31" s="576">
        <f t="shared" si="3"/>
        <v>11057.819999999978</v>
      </c>
      <c r="O31" s="648" t="s">
        <v>3</v>
      </c>
      <c r="P31" s="322"/>
    </row>
    <row r="32" spans="1:16" s="115" customFormat="1" ht="15" customHeight="1">
      <c r="A32" s="642" t="s">
        <v>1687</v>
      </c>
      <c r="B32" s="554" t="s">
        <v>1688</v>
      </c>
      <c r="C32" s="392" t="s">
        <v>53</v>
      </c>
      <c r="D32" s="569">
        <v>41757</v>
      </c>
      <c r="E32" s="570">
        <v>2159</v>
      </c>
      <c r="F32" s="661">
        <v>101.62</v>
      </c>
      <c r="G32" s="644">
        <f t="shared" si="0"/>
        <v>219397.58000000002</v>
      </c>
      <c r="H32" s="573"/>
      <c r="I32" s="574">
        <v>103.58</v>
      </c>
      <c r="J32" s="827">
        <v>105.56</v>
      </c>
      <c r="K32" s="645">
        <f t="shared" si="1"/>
        <v>227904.04</v>
      </c>
      <c r="L32" s="646">
        <f t="shared" si="4"/>
        <v>8506.4599999999919</v>
      </c>
      <c r="M32" s="647">
        <v>1</v>
      </c>
      <c r="N32" s="576">
        <f t="shared" si="3"/>
        <v>8506.4599999999919</v>
      </c>
      <c r="O32" s="648" t="s">
        <v>3</v>
      </c>
      <c r="P32" s="322"/>
    </row>
    <row r="33" spans="1:16" s="115" customFormat="1" ht="15" customHeight="1">
      <c r="A33" s="642" t="s">
        <v>1737</v>
      </c>
      <c r="B33" s="554" t="s">
        <v>1738</v>
      </c>
      <c r="C33" s="392" t="s">
        <v>53</v>
      </c>
      <c r="D33" s="569">
        <v>41789</v>
      </c>
      <c r="E33" s="570">
        <v>4815</v>
      </c>
      <c r="F33" s="661">
        <v>44.73</v>
      </c>
      <c r="G33" s="644">
        <f t="shared" si="0"/>
        <v>215374.94999999998</v>
      </c>
      <c r="H33" s="573"/>
      <c r="I33" s="574">
        <v>43.49</v>
      </c>
      <c r="J33" s="827">
        <v>44.34</v>
      </c>
      <c r="K33" s="645">
        <f t="shared" si="1"/>
        <v>213497.1</v>
      </c>
      <c r="L33" s="646">
        <f t="shared" si="4"/>
        <v>-1877.8499999999767</v>
      </c>
      <c r="M33" s="647">
        <v>1</v>
      </c>
      <c r="N33" s="576">
        <f t="shared" si="3"/>
        <v>-1877.8499999999767</v>
      </c>
      <c r="O33" s="648" t="s">
        <v>3</v>
      </c>
      <c r="P33" s="322"/>
    </row>
    <row r="34" spans="1:16" s="115" customFormat="1" ht="15" customHeight="1">
      <c r="A34" s="642" t="s">
        <v>1785</v>
      </c>
      <c r="B34" s="554" t="s">
        <v>1784</v>
      </c>
      <c r="C34" s="392" t="s">
        <v>53</v>
      </c>
      <c r="D34" s="569">
        <v>41831</v>
      </c>
      <c r="E34" s="570">
        <v>8102</v>
      </c>
      <c r="F34" s="661">
        <v>33.58</v>
      </c>
      <c r="G34" s="644">
        <f>SUM(E34*F34)</f>
        <v>272065.15999999997</v>
      </c>
      <c r="H34" s="573"/>
      <c r="I34" s="574">
        <v>32.700000000000003</v>
      </c>
      <c r="J34" s="827">
        <v>33.840000000000003</v>
      </c>
      <c r="K34" s="645">
        <f>SUM(E34*J34)</f>
        <v>274171.68000000005</v>
      </c>
      <c r="L34" s="646">
        <f>SUM(K34-G34)</f>
        <v>2106.5200000000768</v>
      </c>
      <c r="M34" s="647">
        <v>1</v>
      </c>
      <c r="N34" s="576">
        <f>SUM(L34*M34)</f>
        <v>2106.5200000000768</v>
      </c>
      <c r="O34" s="648" t="s">
        <v>3</v>
      </c>
      <c r="P34" s="322"/>
    </row>
    <row r="35" spans="1:16" s="115" customFormat="1" ht="15" customHeight="1">
      <c r="A35" s="642"/>
      <c r="B35" s="392"/>
      <c r="C35" s="392"/>
      <c r="D35" s="569"/>
      <c r="E35" s="570"/>
      <c r="F35" s="661"/>
      <c r="G35" s="644"/>
      <c r="H35" s="573"/>
      <c r="I35" s="574"/>
      <c r="J35" s="827"/>
      <c r="K35" s="645"/>
      <c r="L35" s="646"/>
      <c r="M35" s="647"/>
      <c r="N35" s="576"/>
      <c r="O35" s="648"/>
      <c r="P35" s="322"/>
    </row>
    <row r="36" spans="1:16" s="8" customFormat="1" ht="15" customHeight="1">
      <c r="A36" s="484"/>
      <c r="B36" s="456"/>
      <c r="C36" s="456"/>
      <c r="D36" s="468"/>
      <c r="E36" s="484"/>
      <c r="F36" s="675"/>
      <c r="G36" s="651"/>
      <c r="H36" s="468"/>
      <c r="I36" s="676"/>
      <c r="J36" s="675"/>
      <c r="K36" s="651"/>
      <c r="L36" s="637"/>
      <c r="M36" s="677"/>
      <c r="N36" s="474"/>
      <c r="O36" s="539"/>
      <c r="P36" s="156"/>
    </row>
    <row r="37" spans="1:16" s="14" customFormat="1" ht="16.5" thickBot="1">
      <c r="A37" s="678" t="s">
        <v>665</v>
      </c>
      <c r="B37" s="35"/>
      <c r="C37" s="35"/>
      <c r="D37" s="35"/>
      <c r="E37" s="35"/>
      <c r="F37" s="150"/>
      <c r="G37" s="130"/>
      <c r="H37" s="37"/>
      <c r="I37" s="38"/>
      <c r="J37" s="150"/>
      <c r="K37" s="130"/>
      <c r="L37" s="679"/>
      <c r="M37" s="168"/>
      <c r="N37" s="236">
        <f>SUM(N13:N36)</f>
        <v>123642.28999999998</v>
      </c>
    </row>
    <row r="38" spans="1:16" s="14" customFormat="1" ht="16.5" thickTop="1">
      <c r="A38" s="642"/>
      <c r="B38" s="48"/>
      <c r="C38" s="48"/>
      <c r="D38" s="48"/>
      <c r="E38" s="48"/>
      <c r="F38" s="151"/>
      <c r="G38" s="131"/>
      <c r="H38" s="50"/>
      <c r="I38" s="51"/>
      <c r="J38" s="151"/>
      <c r="K38" s="131"/>
      <c r="L38" s="680"/>
      <c r="M38" s="169"/>
      <c r="N38" s="289"/>
    </row>
    <row r="39" spans="1:16" ht="11.25" customHeight="1">
      <c r="A39" s="478"/>
      <c r="B39" s="476"/>
      <c r="C39" s="476"/>
      <c r="D39" s="477"/>
      <c r="E39" s="478"/>
      <c r="F39" s="681"/>
      <c r="G39" s="682"/>
      <c r="H39" s="477"/>
      <c r="I39" s="480"/>
      <c r="J39" s="681"/>
      <c r="K39" s="682"/>
      <c r="L39" s="683"/>
      <c r="M39" s="684"/>
      <c r="N39" s="481"/>
    </row>
    <row r="40" spans="1:16" ht="11.25" customHeight="1">
      <c r="A40" s="478"/>
      <c r="B40" s="476"/>
      <c r="C40" s="476"/>
      <c r="D40" s="478"/>
      <c r="E40" s="478"/>
      <c r="F40" s="681"/>
      <c r="G40" s="682"/>
      <c r="H40" s="478"/>
      <c r="I40" s="480"/>
      <c r="J40" s="681"/>
      <c r="K40" s="682"/>
      <c r="L40" s="683"/>
      <c r="M40" s="684"/>
      <c r="N40" s="481"/>
    </row>
    <row r="41" spans="1:16" ht="11.25" customHeight="1">
      <c r="A41" s="484"/>
      <c r="B41" s="456"/>
      <c r="C41" s="456"/>
      <c r="D41" s="484"/>
      <c r="E41" s="484"/>
      <c r="F41" s="675"/>
      <c r="G41" s="651"/>
      <c r="H41" s="484"/>
      <c r="I41" s="485"/>
      <c r="J41" s="675"/>
      <c r="K41" s="651"/>
      <c r="L41" s="652"/>
      <c r="M41" s="677"/>
      <c r="N41" s="474"/>
    </row>
    <row r="42" spans="1:16" s="22" customFormat="1" ht="18.75">
      <c r="A42" s="685"/>
      <c r="B42" s="487"/>
      <c r="C42" s="487"/>
      <c r="D42" s="487"/>
      <c r="E42" s="487" t="s">
        <v>666</v>
      </c>
      <c r="F42" s="686"/>
      <c r="G42" s="687"/>
      <c r="H42" s="487"/>
      <c r="I42" s="489"/>
      <c r="J42" s="688"/>
      <c r="K42" s="235">
        <f>SUM(N435)</f>
        <v>153164.32100000023</v>
      </c>
      <c r="L42" s="689"/>
      <c r="M42" s="230"/>
      <c r="N42" s="490"/>
      <c r="O42" s="425"/>
    </row>
    <row r="43" spans="1:16" s="2" customFormat="1" ht="15" customHeight="1">
      <c r="A43" s="425"/>
      <c r="B43" s="14" t="s">
        <v>668</v>
      </c>
      <c r="C43" s="14" t="s">
        <v>181</v>
      </c>
      <c r="D43" s="14" t="s">
        <v>17</v>
      </c>
      <c r="E43" s="14" t="s">
        <v>26</v>
      </c>
      <c r="F43" s="623" t="s">
        <v>19</v>
      </c>
      <c r="G43" s="626" t="s">
        <v>675</v>
      </c>
      <c r="H43" s="14"/>
      <c r="I43" s="439" t="s">
        <v>18</v>
      </c>
      <c r="J43" s="623" t="s">
        <v>681</v>
      </c>
      <c r="K43" s="626" t="s">
        <v>674</v>
      </c>
      <c r="L43" s="628" t="s">
        <v>890</v>
      </c>
      <c r="M43" s="629" t="s">
        <v>27</v>
      </c>
      <c r="N43" s="440" t="s">
        <v>15</v>
      </c>
      <c r="O43" s="14"/>
    </row>
    <row r="44" spans="1:16" s="2" customFormat="1" ht="15" customHeight="1">
      <c r="A44" s="425"/>
      <c r="B44" s="14" t="s">
        <v>0</v>
      </c>
      <c r="C44" s="14"/>
      <c r="D44" s="14" t="s">
        <v>25</v>
      </c>
      <c r="E44" s="14" t="s">
        <v>21</v>
      </c>
      <c r="F44" s="623" t="s">
        <v>673</v>
      </c>
      <c r="G44" s="626" t="s">
        <v>884</v>
      </c>
      <c r="H44" s="14"/>
      <c r="I44" s="439" t="s">
        <v>7</v>
      </c>
      <c r="J44" s="623" t="s">
        <v>888</v>
      </c>
      <c r="K44" s="626" t="s">
        <v>884</v>
      </c>
      <c r="L44" s="628" t="s">
        <v>884</v>
      </c>
      <c r="M44" s="629" t="s">
        <v>891</v>
      </c>
      <c r="N44" s="440" t="s">
        <v>884</v>
      </c>
      <c r="O44" s="14"/>
    </row>
    <row r="45" spans="1:16" s="547" customFormat="1" ht="15" customHeight="1">
      <c r="A45" s="690"/>
      <c r="B45" s="612"/>
      <c r="C45" s="612"/>
      <c r="D45" s="612"/>
      <c r="E45" s="612"/>
      <c r="F45" s="691"/>
      <c r="G45" s="692"/>
      <c r="H45" s="612"/>
      <c r="I45" s="693"/>
      <c r="J45" s="691"/>
      <c r="K45" s="692"/>
      <c r="L45" s="694"/>
      <c r="M45" s="695" t="s">
        <v>884</v>
      </c>
      <c r="N45" s="811"/>
      <c r="O45" s="612"/>
    </row>
    <row r="46" spans="1:16" s="548" customFormat="1" ht="15" customHeight="1">
      <c r="A46" s="696"/>
      <c r="B46" s="613"/>
      <c r="C46" s="613"/>
      <c r="D46" s="697"/>
      <c r="E46" s="698"/>
      <c r="F46" s="699"/>
      <c r="G46" s="700"/>
      <c r="H46" s="701"/>
      <c r="I46" s="702"/>
      <c r="J46" s="699"/>
      <c r="K46" s="703"/>
      <c r="L46" s="704"/>
      <c r="M46" s="705"/>
      <c r="N46" s="812"/>
      <c r="O46" s="706"/>
    </row>
    <row r="47" spans="1:16" s="548" customFormat="1" ht="15" customHeight="1">
      <c r="A47" s="696" t="s">
        <v>368</v>
      </c>
      <c r="B47" s="613" t="s">
        <v>369</v>
      </c>
      <c r="C47" s="613" t="s">
        <v>78</v>
      </c>
      <c r="D47" s="707">
        <v>40798</v>
      </c>
      <c r="E47" s="696">
        <v>500</v>
      </c>
      <c r="F47" s="708">
        <v>25.03</v>
      </c>
      <c r="G47" s="709">
        <f t="shared" ref="G47:G53" si="5">SUM(E47*F47)</f>
        <v>12515</v>
      </c>
      <c r="H47" s="710"/>
      <c r="I47" s="697">
        <v>40843</v>
      </c>
      <c r="J47" s="708">
        <v>26.785</v>
      </c>
      <c r="K47" s="711">
        <f t="shared" ref="K47:K53" si="6">SUM(E47*J47)</f>
        <v>13392.5</v>
      </c>
      <c r="L47" s="704">
        <f t="shared" ref="L47:L52" si="7">SUM(G47-K47)</f>
        <v>-877.5</v>
      </c>
      <c r="M47" s="712">
        <v>1</v>
      </c>
      <c r="N47" s="813">
        <f t="shared" ref="N47:N52" si="8">SUM(G47-K47)*M47</f>
        <v>-877.5</v>
      </c>
      <c r="O47" s="706"/>
    </row>
    <row r="48" spans="1:16" s="548" customFormat="1" ht="15" customHeight="1">
      <c r="A48" s="696" t="s">
        <v>370</v>
      </c>
      <c r="B48" s="613" t="s">
        <v>371</v>
      </c>
      <c r="C48" s="613" t="s">
        <v>78</v>
      </c>
      <c r="D48" s="707">
        <v>40808</v>
      </c>
      <c r="E48" s="696">
        <v>136</v>
      </c>
      <c r="F48" s="708">
        <v>81.93</v>
      </c>
      <c r="G48" s="709">
        <f t="shared" si="5"/>
        <v>11142.480000000001</v>
      </c>
      <c r="H48" s="710"/>
      <c r="I48" s="697">
        <v>40834</v>
      </c>
      <c r="J48" s="708">
        <v>85.99</v>
      </c>
      <c r="K48" s="711">
        <f t="shared" si="6"/>
        <v>11694.64</v>
      </c>
      <c r="L48" s="704">
        <f t="shared" si="7"/>
        <v>-552.15999999999804</v>
      </c>
      <c r="M48" s="712">
        <v>1</v>
      </c>
      <c r="N48" s="813">
        <f t="shared" si="8"/>
        <v>-552.15999999999804</v>
      </c>
      <c r="O48" s="706"/>
    </row>
    <row r="49" spans="1:15" s="548" customFormat="1" ht="15" customHeight="1">
      <c r="A49" s="696" t="s">
        <v>372</v>
      </c>
      <c r="B49" s="613" t="s">
        <v>373</v>
      </c>
      <c r="C49" s="613" t="s">
        <v>78</v>
      </c>
      <c r="D49" s="707">
        <v>40808</v>
      </c>
      <c r="E49" s="696">
        <v>376</v>
      </c>
      <c r="F49" s="708">
        <v>24.11</v>
      </c>
      <c r="G49" s="709">
        <f t="shared" si="5"/>
        <v>9065.36</v>
      </c>
      <c r="H49" s="710"/>
      <c r="I49" s="697">
        <v>40844</v>
      </c>
      <c r="J49" s="708">
        <v>25.45</v>
      </c>
      <c r="K49" s="711">
        <f t="shared" si="6"/>
        <v>9569.1999999999989</v>
      </c>
      <c r="L49" s="704">
        <f t="shared" si="7"/>
        <v>-503.83999999999833</v>
      </c>
      <c r="M49" s="712">
        <v>1</v>
      </c>
      <c r="N49" s="813">
        <f t="shared" si="8"/>
        <v>-503.83999999999833</v>
      </c>
      <c r="O49" s="706"/>
    </row>
    <row r="50" spans="1:15" s="548" customFormat="1" ht="15" customHeight="1">
      <c r="A50" s="696" t="s">
        <v>374</v>
      </c>
      <c r="B50" s="613" t="s">
        <v>375</v>
      </c>
      <c r="C50" s="613" t="s">
        <v>78</v>
      </c>
      <c r="D50" s="707">
        <v>40808</v>
      </c>
      <c r="E50" s="696">
        <v>1020</v>
      </c>
      <c r="F50" s="708">
        <v>9.3219999999999992</v>
      </c>
      <c r="G50" s="709">
        <f t="shared" si="5"/>
        <v>9508.4399999999987</v>
      </c>
      <c r="H50" s="710"/>
      <c r="I50" s="697">
        <v>40821</v>
      </c>
      <c r="J50" s="708">
        <v>10.3</v>
      </c>
      <c r="K50" s="711">
        <f t="shared" si="6"/>
        <v>10506</v>
      </c>
      <c r="L50" s="713">
        <f t="shared" si="7"/>
        <v>-997.56000000000131</v>
      </c>
      <c r="M50" s="712">
        <v>1</v>
      </c>
      <c r="N50" s="813">
        <f t="shared" si="8"/>
        <v>-997.56000000000131</v>
      </c>
      <c r="O50" s="706"/>
    </row>
    <row r="51" spans="1:15" s="548" customFormat="1" ht="15" customHeight="1">
      <c r="A51" s="696" t="s">
        <v>376</v>
      </c>
      <c r="B51" s="613" t="s">
        <v>377</v>
      </c>
      <c r="C51" s="613" t="s">
        <v>78</v>
      </c>
      <c r="D51" s="707">
        <v>40798</v>
      </c>
      <c r="E51" s="696">
        <v>2777</v>
      </c>
      <c r="F51" s="708">
        <v>3.66</v>
      </c>
      <c r="G51" s="709">
        <f t="shared" si="5"/>
        <v>10163.82</v>
      </c>
      <c r="H51" s="710"/>
      <c r="I51" s="714"/>
      <c r="J51" s="708">
        <v>3.13</v>
      </c>
      <c r="K51" s="711">
        <f t="shared" si="6"/>
        <v>8692.01</v>
      </c>
      <c r="L51" s="704">
        <f t="shared" si="7"/>
        <v>1471.8099999999995</v>
      </c>
      <c r="M51" s="712">
        <v>1</v>
      </c>
      <c r="N51" s="813">
        <f t="shared" si="8"/>
        <v>1471.8099999999995</v>
      </c>
      <c r="O51" s="706"/>
    </row>
    <row r="52" spans="1:15" s="548" customFormat="1" ht="15" customHeight="1">
      <c r="A52" s="696" t="s">
        <v>368</v>
      </c>
      <c r="B52" s="613" t="s">
        <v>369</v>
      </c>
      <c r="C52" s="613" t="s">
        <v>78</v>
      </c>
      <c r="D52" s="707">
        <v>40798</v>
      </c>
      <c r="E52" s="696">
        <v>500</v>
      </c>
      <c r="F52" s="708">
        <v>25.03</v>
      </c>
      <c r="G52" s="709">
        <f t="shared" si="5"/>
        <v>12515</v>
      </c>
      <c r="H52" s="710"/>
      <c r="I52" s="714"/>
      <c r="J52" s="708">
        <v>24</v>
      </c>
      <c r="K52" s="711">
        <f t="shared" si="6"/>
        <v>12000</v>
      </c>
      <c r="L52" s="704">
        <f t="shared" si="7"/>
        <v>515</v>
      </c>
      <c r="M52" s="712">
        <v>1</v>
      </c>
      <c r="N52" s="813">
        <f t="shared" si="8"/>
        <v>515</v>
      </c>
      <c r="O52" s="706"/>
    </row>
    <row r="53" spans="1:15" s="548" customFormat="1" ht="15" customHeight="1">
      <c r="A53" s="698" t="s">
        <v>475</v>
      </c>
      <c r="B53" s="614" t="s">
        <v>476</v>
      </c>
      <c r="C53" s="614" t="s">
        <v>53</v>
      </c>
      <c r="D53" s="697">
        <v>40918</v>
      </c>
      <c r="E53" s="698">
        <v>435</v>
      </c>
      <c r="F53" s="699">
        <v>52.31</v>
      </c>
      <c r="G53" s="700">
        <f t="shared" si="5"/>
        <v>22754.850000000002</v>
      </c>
      <c r="H53" s="701"/>
      <c r="I53" s="697">
        <v>40991</v>
      </c>
      <c r="J53" s="699">
        <v>52.88</v>
      </c>
      <c r="K53" s="703">
        <f t="shared" si="6"/>
        <v>23002.800000000003</v>
      </c>
      <c r="L53" s="704">
        <f t="shared" ref="L53:L78" si="9">SUM(K53-G53)</f>
        <v>247.95000000000073</v>
      </c>
      <c r="M53" s="712">
        <v>1</v>
      </c>
      <c r="N53" s="813">
        <f t="shared" ref="N53:N78" si="10">SUM(K53-G53)*M53</f>
        <v>247.95000000000073</v>
      </c>
      <c r="O53" s="706"/>
    </row>
    <row r="54" spans="1:15" s="548" customFormat="1" ht="15" customHeight="1">
      <c r="A54" s="698" t="s">
        <v>477</v>
      </c>
      <c r="B54" s="614" t="s">
        <v>478</v>
      </c>
      <c r="C54" s="614" t="s">
        <v>53</v>
      </c>
      <c r="D54" s="697">
        <v>40947</v>
      </c>
      <c r="E54" s="698">
        <v>403</v>
      </c>
      <c r="F54" s="699">
        <v>38.35</v>
      </c>
      <c r="G54" s="700">
        <f t="shared" ref="G54:G102" si="11">SUM(E54*F54)</f>
        <v>15455.050000000001</v>
      </c>
      <c r="H54" s="701"/>
      <c r="I54" s="697">
        <v>40973</v>
      </c>
      <c r="J54" s="699">
        <v>38.549999999999997</v>
      </c>
      <c r="K54" s="703">
        <f t="shared" ref="K54:K102" si="12">SUM(E54*J54)</f>
        <v>15535.65</v>
      </c>
      <c r="L54" s="704">
        <f t="shared" si="9"/>
        <v>80.599999999998545</v>
      </c>
      <c r="M54" s="712">
        <v>1</v>
      </c>
      <c r="N54" s="813">
        <f t="shared" si="10"/>
        <v>80.599999999998545</v>
      </c>
      <c r="O54" s="706"/>
    </row>
    <row r="55" spans="1:15" s="548" customFormat="1" ht="15" customHeight="1">
      <c r="A55" s="698" t="s">
        <v>479</v>
      </c>
      <c r="B55" s="614" t="s">
        <v>480</v>
      </c>
      <c r="C55" s="614" t="s">
        <v>53</v>
      </c>
      <c r="D55" s="697">
        <v>40948</v>
      </c>
      <c r="E55" s="698">
        <v>141</v>
      </c>
      <c r="F55" s="699">
        <v>87.76</v>
      </c>
      <c r="G55" s="700">
        <f t="shared" si="11"/>
        <v>12374.16</v>
      </c>
      <c r="H55" s="701"/>
      <c r="I55" s="697">
        <v>40973</v>
      </c>
      <c r="J55" s="699">
        <v>82.06</v>
      </c>
      <c r="K55" s="703">
        <f t="shared" si="12"/>
        <v>11570.460000000001</v>
      </c>
      <c r="L55" s="704">
        <f t="shared" si="9"/>
        <v>-803.69999999999891</v>
      </c>
      <c r="M55" s="712">
        <v>1</v>
      </c>
      <c r="N55" s="813">
        <f t="shared" si="10"/>
        <v>-803.69999999999891</v>
      </c>
      <c r="O55" s="706"/>
    </row>
    <row r="56" spans="1:15" s="548" customFormat="1" ht="15" customHeight="1">
      <c r="A56" s="698" t="s">
        <v>1296</v>
      </c>
      <c r="B56" s="614" t="s">
        <v>481</v>
      </c>
      <c r="C56" s="614" t="s">
        <v>53</v>
      </c>
      <c r="D56" s="697">
        <v>40948</v>
      </c>
      <c r="E56" s="698">
        <v>203</v>
      </c>
      <c r="F56" s="699">
        <v>82.74</v>
      </c>
      <c r="G56" s="700">
        <f t="shared" si="11"/>
        <v>16796.219999999998</v>
      </c>
      <c r="H56" s="701"/>
      <c r="I56" s="697">
        <v>40974</v>
      </c>
      <c r="J56" s="699">
        <v>81.150000000000006</v>
      </c>
      <c r="K56" s="703">
        <f t="shared" si="12"/>
        <v>16473.45</v>
      </c>
      <c r="L56" s="704">
        <f t="shared" si="9"/>
        <v>-322.7699999999968</v>
      </c>
      <c r="M56" s="712">
        <v>1</v>
      </c>
      <c r="N56" s="813">
        <f t="shared" si="10"/>
        <v>-322.7699999999968</v>
      </c>
      <c r="O56" s="706"/>
    </row>
    <row r="57" spans="1:15" s="548" customFormat="1" ht="15" customHeight="1">
      <c r="A57" s="698" t="s">
        <v>482</v>
      </c>
      <c r="B57" s="614" t="s">
        <v>483</v>
      </c>
      <c r="C57" s="614" t="s">
        <v>53</v>
      </c>
      <c r="D57" s="697">
        <v>40786</v>
      </c>
      <c r="E57" s="698">
        <v>609</v>
      </c>
      <c r="F57" s="699">
        <v>30.22</v>
      </c>
      <c r="G57" s="700">
        <f t="shared" si="11"/>
        <v>18403.98</v>
      </c>
      <c r="H57" s="701"/>
      <c r="I57" s="697">
        <v>40974</v>
      </c>
      <c r="J57" s="699">
        <v>31.29</v>
      </c>
      <c r="K57" s="703">
        <f t="shared" si="12"/>
        <v>19055.61</v>
      </c>
      <c r="L57" s="704">
        <f t="shared" si="9"/>
        <v>651.63000000000102</v>
      </c>
      <c r="M57" s="712">
        <v>1</v>
      </c>
      <c r="N57" s="813">
        <f t="shared" si="10"/>
        <v>651.63000000000102</v>
      </c>
      <c r="O57" s="706"/>
    </row>
    <row r="58" spans="1:15" s="548" customFormat="1" ht="15" customHeight="1">
      <c r="A58" s="698" t="s">
        <v>484</v>
      </c>
      <c r="B58" s="614" t="s">
        <v>485</v>
      </c>
      <c r="C58" s="614" t="s">
        <v>53</v>
      </c>
      <c r="D58" s="697">
        <v>40913</v>
      </c>
      <c r="E58" s="698">
        <v>505</v>
      </c>
      <c r="F58" s="699">
        <v>38.64</v>
      </c>
      <c r="G58" s="700">
        <f t="shared" si="11"/>
        <v>19513.2</v>
      </c>
      <c r="H58" s="701"/>
      <c r="I58" s="697">
        <v>40974</v>
      </c>
      <c r="J58" s="699">
        <v>37.43</v>
      </c>
      <c r="K58" s="703">
        <f t="shared" si="12"/>
        <v>18902.150000000001</v>
      </c>
      <c r="L58" s="704">
        <f t="shared" si="9"/>
        <v>-611.04999999999927</v>
      </c>
      <c r="M58" s="712">
        <v>1</v>
      </c>
      <c r="N58" s="813">
        <f>SUM(K58-G58)*M58</f>
        <v>-611.04999999999927</v>
      </c>
      <c r="O58" s="706"/>
    </row>
    <row r="59" spans="1:15" s="548" customFormat="1" ht="15" customHeight="1">
      <c r="A59" s="698" t="s">
        <v>486</v>
      </c>
      <c r="B59" s="614" t="s">
        <v>487</v>
      </c>
      <c r="C59" s="614" t="s">
        <v>53</v>
      </c>
      <c r="D59" s="697">
        <v>40953</v>
      </c>
      <c r="E59" s="698">
        <v>485</v>
      </c>
      <c r="F59" s="699">
        <v>29.5</v>
      </c>
      <c r="G59" s="700">
        <f t="shared" si="11"/>
        <v>14307.5</v>
      </c>
      <c r="H59" s="701"/>
      <c r="I59" s="697">
        <v>40974</v>
      </c>
      <c r="J59" s="699">
        <v>28.52</v>
      </c>
      <c r="K59" s="703">
        <f t="shared" si="12"/>
        <v>13832.199999999999</v>
      </c>
      <c r="L59" s="704">
        <f t="shared" si="9"/>
        <v>-475.30000000000109</v>
      </c>
      <c r="M59" s="712">
        <v>1</v>
      </c>
      <c r="N59" s="813">
        <f t="shared" si="10"/>
        <v>-475.30000000000109</v>
      </c>
      <c r="O59" s="706"/>
    </row>
    <row r="60" spans="1:15" s="548" customFormat="1" ht="15" customHeight="1">
      <c r="A60" s="698" t="s">
        <v>488</v>
      </c>
      <c r="B60" s="614" t="s">
        <v>489</v>
      </c>
      <c r="C60" s="614" t="s">
        <v>53</v>
      </c>
      <c r="D60" s="697">
        <v>40962</v>
      </c>
      <c r="E60" s="698">
        <v>1510</v>
      </c>
      <c r="F60" s="699">
        <v>13.82</v>
      </c>
      <c r="G60" s="700">
        <f t="shared" si="11"/>
        <v>20868.2</v>
      </c>
      <c r="H60" s="701"/>
      <c r="I60" s="697">
        <v>40974</v>
      </c>
      <c r="J60" s="699">
        <v>13.17</v>
      </c>
      <c r="K60" s="703">
        <f t="shared" si="12"/>
        <v>19886.7</v>
      </c>
      <c r="L60" s="704">
        <f t="shared" si="9"/>
        <v>-981.5</v>
      </c>
      <c r="M60" s="712">
        <v>1</v>
      </c>
      <c r="N60" s="813">
        <f t="shared" si="10"/>
        <v>-981.5</v>
      </c>
      <c r="O60" s="706"/>
    </row>
    <row r="61" spans="1:15" s="548" customFormat="1" ht="15" customHeight="1">
      <c r="A61" s="698" t="s">
        <v>490</v>
      </c>
      <c r="B61" s="614" t="s">
        <v>491</v>
      </c>
      <c r="C61" s="614" t="s">
        <v>53</v>
      </c>
      <c r="D61" s="697">
        <v>40953</v>
      </c>
      <c r="E61" s="698">
        <v>421</v>
      </c>
      <c r="F61" s="699">
        <v>54.32</v>
      </c>
      <c r="G61" s="700">
        <f t="shared" si="11"/>
        <v>22868.720000000001</v>
      </c>
      <c r="H61" s="701"/>
      <c r="I61" s="697">
        <v>40989</v>
      </c>
      <c r="J61" s="699">
        <v>53.96</v>
      </c>
      <c r="K61" s="703">
        <f t="shared" si="12"/>
        <v>22717.16</v>
      </c>
      <c r="L61" s="704">
        <f t="shared" si="9"/>
        <v>-151.56000000000131</v>
      </c>
      <c r="M61" s="712">
        <v>1</v>
      </c>
      <c r="N61" s="813">
        <f t="shared" si="10"/>
        <v>-151.56000000000131</v>
      </c>
      <c r="O61" s="706"/>
    </row>
    <row r="62" spans="1:15" s="548" customFormat="1" ht="15" customHeight="1">
      <c r="A62" s="698" t="s">
        <v>1297</v>
      </c>
      <c r="B62" s="614" t="s">
        <v>492</v>
      </c>
      <c r="C62" s="614" t="s">
        <v>53</v>
      </c>
      <c r="D62" s="697">
        <v>40980</v>
      </c>
      <c r="E62" s="715">
        <v>819</v>
      </c>
      <c r="F62" s="699">
        <v>59.32</v>
      </c>
      <c r="G62" s="700">
        <f t="shared" si="11"/>
        <v>48583.08</v>
      </c>
      <c r="H62" s="701"/>
      <c r="I62" s="697">
        <v>40988</v>
      </c>
      <c r="J62" s="699">
        <v>58.1</v>
      </c>
      <c r="K62" s="703">
        <f t="shared" si="12"/>
        <v>47583.9</v>
      </c>
      <c r="L62" s="704">
        <f t="shared" si="9"/>
        <v>-999.18000000000029</v>
      </c>
      <c r="M62" s="712">
        <v>1</v>
      </c>
      <c r="N62" s="813">
        <f t="shared" si="10"/>
        <v>-999.18000000000029</v>
      </c>
      <c r="O62" s="706"/>
    </row>
    <row r="63" spans="1:15" s="548" customFormat="1" ht="15" customHeight="1">
      <c r="A63" s="698" t="s">
        <v>493</v>
      </c>
      <c r="B63" s="614" t="s">
        <v>494</v>
      </c>
      <c r="C63" s="614" t="s">
        <v>53</v>
      </c>
      <c r="D63" s="697">
        <v>40987</v>
      </c>
      <c r="E63" s="698">
        <v>685</v>
      </c>
      <c r="F63" s="699">
        <v>94.58</v>
      </c>
      <c r="G63" s="700">
        <f t="shared" si="11"/>
        <v>64787.299999999996</v>
      </c>
      <c r="H63" s="701"/>
      <c r="I63" s="697">
        <v>40990</v>
      </c>
      <c r="J63" s="699">
        <v>93.12</v>
      </c>
      <c r="K63" s="703">
        <f t="shared" si="12"/>
        <v>63787.200000000004</v>
      </c>
      <c r="L63" s="704">
        <f t="shared" si="9"/>
        <v>-1000.0999999999913</v>
      </c>
      <c r="M63" s="712">
        <v>1</v>
      </c>
      <c r="N63" s="813">
        <f t="shared" si="10"/>
        <v>-1000.0999999999913</v>
      </c>
      <c r="O63" s="706"/>
    </row>
    <row r="64" spans="1:15" s="548" customFormat="1" ht="15" customHeight="1">
      <c r="A64" s="698" t="s">
        <v>495</v>
      </c>
      <c r="B64" s="614" t="s">
        <v>496</v>
      </c>
      <c r="C64" s="614" t="s">
        <v>53</v>
      </c>
      <c r="D64" s="697">
        <v>40980</v>
      </c>
      <c r="E64" s="698">
        <v>555</v>
      </c>
      <c r="F64" s="699">
        <v>110.9</v>
      </c>
      <c r="G64" s="700">
        <f t="shared" si="11"/>
        <v>61549.5</v>
      </c>
      <c r="H64" s="701"/>
      <c r="I64" s="697">
        <v>40988</v>
      </c>
      <c r="J64" s="699">
        <v>109.1</v>
      </c>
      <c r="K64" s="703">
        <f t="shared" si="12"/>
        <v>60550.5</v>
      </c>
      <c r="L64" s="704">
        <f t="shared" si="9"/>
        <v>-999</v>
      </c>
      <c r="M64" s="712">
        <v>1</v>
      </c>
      <c r="N64" s="813">
        <f t="shared" si="10"/>
        <v>-999</v>
      </c>
      <c r="O64" s="706"/>
    </row>
    <row r="65" spans="1:15" s="548" customFormat="1" ht="15" customHeight="1">
      <c r="A65" s="698" t="s">
        <v>497</v>
      </c>
      <c r="B65" s="614" t="s">
        <v>498</v>
      </c>
      <c r="C65" s="614" t="s">
        <v>53</v>
      </c>
      <c r="D65" s="697">
        <v>40940</v>
      </c>
      <c r="E65" s="698">
        <v>1220</v>
      </c>
      <c r="F65" s="699">
        <v>45.78</v>
      </c>
      <c r="G65" s="700">
        <f t="shared" si="11"/>
        <v>55851.6</v>
      </c>
      <c r="H65" s="701"/>
      <c r="I65" s="697">
        <v>40991</v>
      </c>
      <c r="J65" s="699">
        <v>49.55</v>
      </c>
      <c r="K65" s="703">
        <f t="shared" si="12"/>
        <v>60451</v>
      </c>
      <c r="L65" s="704">
        <f t="shared" si="9"/>
        <v>4599.4000000000015</v>
      </c>
      <c r="M65" s="712">
        <v>1</v>
      </c>
      <c r="N65" s="813">
        <f t="shared" si="10"/>
        <v>4599.4000000000015</v>
      </c>
      <c r="O65" s="706"/>
    </row>
    <row r="66" spans="1:15" s="548" customFormat="1" ht="15" customHeight="1">
      <c r="A66" s="698" t="s">
        <v>499</v>
      </c>
      <c r="B66" s="614" t="s">
        <v>500</v>
      </c>
      <c r="C66" s="614" t="s">
        <v>53</v>
      </c>
      <c r="D66" s="697">
        <v>40994</v>
      </c>
      <c r="E66" s="698">
        <v>455</v>
      </c>
      <c r="F66" s="699">
        <v>151.1</v>
      </c>
      <c r="G66" s="700">
        <f t="shared" si="11"/>
        <v>68750.5</v>
      </c>
      <c r="H66" s="701"/>
      <c r="I66" s="697">
        <v>40996</v>
      </c>
      <c r="J66" s="699">
        <v>148.9</v>
      </c>
      <c r="K66" s="703">
        <f t="shared" si="12"/>
        <v>67749.5</v>
      </c>
      <c r="L66" s="704">
        <f t="shared" si="9"/>
        <v>-1001</v>
      </c>
      <c r="M66" s="712">
        <v>1</v>
      </c>
      <c r="N66" s="813">
        <f t="shared" si="10"/>
        <v>-1001</v>
      </c>
      <c r="O66" s="706"/>
    </row>
    <row r="67" spans="1:15" s="548" customFormat="1" ht="15" customHeight="1">
      <c r="A67" s="690" t="s">
        <v>501</v>
      </c>
      <c r="B67" s="614" t="s">
        <v>502</v>
      </c>
      <c r="C67" s="614" t="s">
        <v>53</v>
      </c>
      <c r="D67" s="697">
        <v>41001</v>
      </c>
      <c r="E67" s="698">
        <v>813</v>
      </c>
      <c r="F67" s="699">
        <v>74.27</v>
      </c>
      <c r="G67" s="700">
        <f t="shared" si="11"/>
        <v>60381.509999999995</v>
      </c>
      <c r="H67" s="701"/>
      <c r="I67" s="697">
        <v>41002</v>
      </c>
      <c r="J67" s="699">
        <v>73.069999999999993</v>
      </c>
      <c r="K67" s="703">
        <f t="shared" si="12"/>
        <v>59405.909999999996</v>
      </c>
      <c r="L67" s="704">
        <f t="shared" si="9"/>
        <v>-975.59999999999854</v>
      </c>
      <c r="M67" s="712">
        <v>1</v>
      </c>
      <c r="N67" s="813">
        <f t="shared" si="10"/>
        <v>-975.59999999999854</v>
      </c>
      <c r="O67" s="706"/>
    </row>
    <row r="68" spans="1:15" s="548" customFormat="1" ht="15" customHeight="1">
      <c r="A68" s="690" t="s">
        <v>503</v>
      </c>
      <c r="B68" s="614" t="s">
        <v>504</v>
      </c>
      <c r="C68" s="614" t="s">
        <v>53</v>
      </c>
      <c r="D68" s="697">
        <v>40981</v>
      </c>
      <c r="E68" s="698">
        <v>595</v>
      </c>
      <c r="F68" s="699">
        <v>20.440000000000001</v>
      </c>
      <c r="G68" s="700">
        <f t="shared" si="11"/>
        <v>12161.800000000001</v>
      </c>
      <c r="H68" s="701"/>
      <c r="I68" s="697">
        <v>41004</v>
      </c>
      <c r="J68" s="699">
        <v>18.760000000000002</v>
      </c>
      <c r="K68" s="703">
        <f t="shared" si="12"/>
        <v>11162.2</v>
      </c>
      <c r="L68" s="704">
        <f t="shared" si="9"/>
        <v>-999.60000000000036</v>
      </c>
      <c r="M68" s="712">
        <v>1</v>
      </c>
      <c r="N68" s="813">
        <f t="shared" si="10"/>
        <v>-999.60000000000036</v>
      </c>
      <c r="O68" s="706"/>
    </row>
    <row r="69" spans="1:15" s="548" customFormat="1" ht="15" customHeight="1">
      <c r="A69" s="698" t="s">
        <v>505</v>
      </c>
      <c r="B69" s="614" t="s">
        <v>506</v>
      </c>
      <c r="C69" s="614" t="s">
        <v>53</v>
      </c>
      <c r="D69" s="697">
        <v>41008</v>
      </c>
      <c r="E69" s="698">
        <v>847</v>
      </c>
      <c r="F69" s="699">
        <v>25.98</v>
      </c>
      <c r="G69" s="700">
        <f t="shared" si="11"/>
        <v>22005.06</v>
      </c>
      <c r="H69" s="701"/>
      <c r="I69" s="697">
        <v>41009</v>
      </c>
      <c r="J69" s="699">
        <v>25.89</v>
      </c>
      <c r="K69" s="703">
        <f t="shared" si="12"/>
        <v>21928.83</v>
      </c>
      <c r="L69" s="704">
        <f t="shared" si="9"/>
        <v>-76.229999999999563</v>
      </c>
      <c r="M69" s="712">
        <v>1</v>
      </c>
      <c r="N69" s="813">
        <f t="shared" si="10"/>
        <v>-76.229999999999563</v>
      </c>
      <c r="O69" s="706"/>
    </row>
    <row r="70" spans="1:15" s="548" customFormat="1" ht="15" customHeight="1">
      <c r="A70" s="690" t="s">
        <v>507</v>
      </c>
      <c r="B70" s="614" t="s">
        <v>508</v>
      </c>
      <c r="C70" s="614" t="s">
        <v>53</v>
      </c>
      <c r="D70" s="697">
        <v>40980</v>
      </c>
      <c r="E70" s="698">
        <v>758</v>
      </c>
      <c r="F70" s="699">
        <v>51.27</v>
      </c>
      <c r="G70" s="700">
        <f t="shared" si="11"/>
        <v>38862.660000000003</v>
      </c>
      <c r="H70" s="701"/>
      <c r="I70" s="697">
        <v>41009</v>
      </c>
      <c r="J70" s="699">
        <v>51.36</v>
      </c>
      <c r="K70" s="703">
        <f t="shared" si="12"/>
        <v>38930.879999999997</v>
      </c>
      <c r="L70" s="704">
        <f t="shared" si="9"/>
        <v>68.219999999993888</v>
      </c>
      <c r="M70" s="712">
        <v>1</v>
      </c>
      <c r="N70" s="813">
        <f t="shared" si="10"/>
        <v>68.219999999993888</v>
      </c>
      <c r="O70" s="706"/>
    </row>
    <row r="71" spans="1:15" s="548" customFormat="1" ht="15" customHeight="1">
      <c r="A71" s="690" t="s">
        <v>509</v>
      </c>
      <c r="B71" s="614" t="s">
        <v>510</v>
      </c>
      <c r="C71" s="614" t="s">
        <v>53</v>
      </c>
      <c r="D71" s="697">
        <v>40980</v>
      </c>
      <c r="E71" s="698">
        <v>588</v>
      </c>
      <c r="F71" s="699">
        <v>112.1</v>
      </c>
      <c r="G71" s="700">
        <f t="shared" si="11"/>
        <v>65914.8</v>
      </c>
      <c r="H71" s="701"/>
      <c r="I71" s="697">
        <v>41009</v>
      </c>
      <c r="J71" s="699">
        <v>111.1</v>
      </c>
      <c r="K71" s="703">
        <f t="shared" si="12"/>
        <v>65326.799999999996</v>
      </c>
      <c r="L71" s="704">
        <f t="shared" si="9"/>
        <v>-588.00000000000728</v>
      </c>
      <c r="M71" s="712">
        <v>1</v>
      </c>
      <c r="N71" s="813">
        <f t="shared" si="10"/>
        <v>-588.00000000000728</v>
      </c>
      <c r="O71" s="706"/>
    </row>
    <row r="72" spans="1:15" s="548" customFormat="1" ht="15" customHeight="1">
      <c r="A72" s="690" t="s">
        <v>511</v>
      </c>
      <c r="B72" s="614" t="s">
        <v>512</v>
      </c>
      <c r="C72" s="614" t="s">
        <v>53</v>
      </c>
      <c r="D72" s="697">
        <v>40980</v>
      </c>
      <c r="E72" s="698">
        <v>1220</v>
      </c>
      <c r="F72" s="699">
        <v>36.880000000000003</v>
      </c>
      <c r="G72" s="700">
        <f t="shared" si="11"/>
        <v>44993.600000000006</v>
      </c>
      <c r="H72" s="701"/>
      <c r="I72" s="697">
        <v>41009</v>
      </c>
      <c r="J72" s="699">
        <v>36.06</v>
      </c>
      <c r="K72" s="703">
        <f t="shared" si="12"/>
        <v>43993.200000000004</v>
      </c>
      <c r="L72" s="704">
        <f t="shared" si="9"/>
        <v>-1000.4000000000015</v>
      </c>
      <c r="M72" s="712">
        <v>1</v>
      </c>
      <c r="N72" s="813">
        <f t="shared" si="10"/>
        <v>-1000.4000000000015</v>
      </c>
      <c r="O72" s="706"/>
    </row>
    <row r="73" spans="1:15" s="548" customFormat="1" ht="15" customHeight="1">
      <c r="A73" s="690" t="s">
        <v>513</v>
      </c>
      <c r="B73" s="614" t="s">
        <v>514</v>
      </c>
      <c r="C73" s="614" t="s">
        <v>53</v>
      </c>
      <c r="D73" s="697">
        <v>40980</v>
      </c>
      <c r="E73" s="698">
        <v>424</v>
      </c>
      <c r="F73" s="699">
        <v>54.51</v>
      </c>
      <c r="G73" s="700">
        <f t="shared" si="11"/>
        <v>23112.239999999998</v>
      </c>
      <c r="H73" s="701"/>
      <c r="I73" s="697">
        <v>41009</v>
      </c>
      <c r="J73" s="699">
        <v>53.48</v>
      </c>
      <c r="K73" s="703">
        <f t="shared" si="12"/>
        <v>22675.52</v>
      </c>
      <c r="L73" s="704">
        <f t="shared" si="9"/>
        <v>-436.71999999999753</v>
      </c>
      <c r="M73" s="712">
        <v>1</v>
      </c>
      <c r="N73" s="813">
        <f t="shared" si="10"/>
        <v>-436.71999999999753</v>
      </c>
      <c r="O73" s="706"/>
    </row>
    <row r="74" spans="1:15" s="548" customFormat="1" ht="15" customHeight="1">
      <c r="A74" s="690" t="s">
        <v>515</v>
      </c>
      <c r="B74" s="614" t="s">
        <v>516</v>
      </c>
      <c r="C74" s="614" t="s">
        <v>53</v>
      </c>
      <c r="D74" s="697">
        <v>40980</v>
      </c>
      <c r="E74" s="698">
        <v>120</v>
      </c>
      <c r="F74" s="699">
        <v>139.5</v>
      </c>
      <c r="G74" s="700">
        <f t="shared" si="11"/>
        <v>16740</v>
      </c>
      <c r="H74" s="701"/>
      <c r="I74" s="697">
        <v>41009</v>
      </c>
      <c r="J74" s="699">
        <v>134.30000000000001</v>
      </c>
      <c r="K74" s="703">
        <f t="shared" si="12"/>
        <v>16116.000000000002</v>
      </c>
      <c r="L74" s="704">
        <f t="shared" si="9"/>
        <v>-623.99999999999818</v>
      </c>
      <c r="M74" s="712">
        <v>1</v>
      </c>
      <c r="N74" s="813">
        <f t="shared" si="10"/>
        <v>-623.99999999999818</v>
      </c>
      <c r="O74" s="706"/>
    </row>
    <row r="75" spans="1:15" s="548" customFormat="1" ht="15" customHeight="1">
      <c r="A75" s="690" t="s">
        <v>517</v>
      </c>
      <c r="B75" s="614" t="s">
        <v>518</v>
      </c>
      <c r="C75" s="614" t="s">
        <v>53</v>
      </c>
      <c r="D75" s="697">
        <v>40980</v>
      </c>
      <c r="E75" s="698">
        <v>1923</v>
      </c>
      <c r="F75" s="699">
        <v>47.14</v>
      </c>
      <c r="G75" s="700">
        <f t="shared" si="11"/>
        <v>90650.22</v>
      </c>
      <c r="H75" s="701"/>
      <c r="I75" s="697">
        <v>41009</v>
      </c>
      <c r="J75" s="699">
        <v>46.95</v>
      </c>
      <c r="K75" s="703">
        <f t="shared" si="12"/>
        <v>90284.85</v>
      </c>
      <c r="L75" s="704">
        <f t="shared" si="9"/>
        <v>-365.36999999999534</v>
      </c>
      <c r="M75" s="712">
        <v>1</v>
      </c>
      <c r="N75" s="813">
        <f t="shared" si="10"/>
        <v>-365.36999999999534</v>
      </c>
      <c r="O75" s="706"/>
    </row>
    <row r="76" spans="1:15" s="548" customFormat="1" ht="15" customHeight="1">
      <c r="A76" s="690" t="s">
        <v>519</v>
      </c>
      <c r="B76" s="614" t="s">
        <v>520</v>
      </c>
      <c r="C76" s="614" t="s">
        <v>53</v>
      </c>
      <c r="D76" s="697">
        <v>40980</v>
      </c>
      <c r="E76" s="698">
        <v>746</v>
      </c>
      <c r="F76" s="699">
        <v>42.66</v>
      </c>
      <c r="G76" s="700">
        <f t="shared" si="11"/>
        <v>31824.359999999997</v>
      </c>
      <c r="H76" s="701"/>
      <c r="I76" s="697">
        <v>41009</v>
      </c>
      <c r="J76" s="699">
        <v>41.69</v>
      </c>
      <c r="K76" s="703">
        <f t="shared" si="12"/>
        <v>31100.739999999998</v>
      </c>
      <c r="L76" s="704">
        <f t="shared" si="9"/>
        <v>-723.61999999999898</v>
      </c>
      <c r="M76" s="712">
        <v>1</v>
      </c>
      <c r="N76" s="813">
        <f t="shared" si="10"/>
        <v>-723.61999999999898</v>
      </c>
      <c r="O76" s="706"/>
    </row>
    <row r="77" spans="1:15" s="548" customFormat="1" ht="15" customHeight="1">
      <c r="A77" s="690" t="s">
        <v>521</v>
      </c>
      <c r="B77" s="614" t="s">
        <v>522</v>
      </c>
      <c r="C77" s="614" t="s">
        <v>53</v>
      </c>
      <c r="D77" s="697">
        <v>40918</v>
      </c>
      <c r="E77" s="698">
        <v>369</v>
      </c>
      <c r="F77" s="699">
        <v>28.71</v>
      </c>
      <c r="G77" s="700">
        <f t="shared" si="11"/>
        <v>10593.99</v>
      </c>
      <c r="H77" s="701"/>
      <c r="I77" s="697">
        <v>41009</v>
      </c>
      <c r="J77" s="699">
        <v>30.39</v>
      </c>
      <c r="K77" s="703">
        <f t="shared" si="12"/>
        <v>11213.91</v>
      </c>
      <c r="L77" s="704">
        <f t="shared" si="9"/>
        <v>619.92000000000007</v>
      </c>
      <c r="M77" s="712">
        <v>1</v>
      </c>
      <c r="N77" s="813">
        <f t="shared" si="10"/>
        <v>619.92000000000007</v>
      </c>
      <c r="O77" s="706"/>
    </row>
    <row r="78" spans="1:15" s="548" customFormat="1" ht="15" customHeight="1">
      <c r="A78" s="690" t="s">
        <v>523</v>
      </c>
      <c r="B78" s="614" t="s">
        <v>524</v>
      </c>
      <c r="C78" s="614" t="s">
        <v>53</v>
      </c>
      <c r="D78" s="697">
        <v>40983</v>
      </c>
      <c r="E78" s="698">
        <v>1042</v>
      </c>
      <c r="F78" s="699">
        <v>30.88</v>
      </c>
      <c r="G78" s="700">
        <f t="shared" si="11"/>
        <v>32176.959999999999</v>
      </c>
      <c r="H78" s="701"/>
      <c r="I78" s="697">
        <v>41009</v>
      </c>
      <c r="J78" s="699">
        <v>29.92</v>
      </c>
      <c r="K78" s="703">
        <f t="shared" si="12"/>
        <v>31176.640000000003</v>
      </c>
      <c r="L78" s="704">
        <f t="shared" si="9"/>
        <v>-1000.3199999999961</v>
      </c>
      <c r="M78" s="712">
        <v>1</v>
      </c>
      <c r="N78" s="813">
        <f t="shared" si="10"/>
        <v>-1000.3199999999961</v>
      </c>
      <c r="O78" s="706"/>
    </row>
    <row r="79" spans="1:15" s="548" customFormat="1" ht="15" customHeight="1">
      <c r="A79" s="696" t="s">
        <v>525</v>
      </c>
      <c r="B79" s="613" t="s">
        <v>526</v>
      </c>
      <c r="C79" s="613" t="s">
        <v>78</v>
      </c>
      <c r="D79" s="707">
        <v>41008</v>
      </c>
      <c r="E79" s="696">
        <v>1281</v>
      </c>
      <c r="F79" s="708">
        <v>12.77</v>
      </c>
      <c r="G79" s="709">
        <f>SUM(E79*F79)</f>
        <v>16358.369999999999</v>
      </c>
      <c r="H79" s="710"/>
      <c r="I79" s="707">
        <v>41011</v>
      </c>
      <c r="J79" s="708">
        <v>13.55</v>
      </c>
      <c r="K79" s="711">
        <f>SUM(E79*J79)</f>
        <v>17357.55</v>
      </c>
      <c r="L79" s="713">
        <f>SUM(G79-K79)</f>
        <v>-999.18000000000029</v>
      </c>
      <c r="M79" s="712">
        <v>1</v>
      </c>
      <c r="N79" s="813">
        <f>SUM(G79-K79)*M79</f>
        <v>-999.18000000000029</v>
      </c>
      <c r="O79" s="706"/>
    </row>
    <row r="80" spans="1:15" s="548" customFormat="1" ht="15" customHeight="1">
      <c r="A80" s="690" t="s">
        <v>527</v>
      </c>
      <c r="B80" s="614" t="s">
        <v>528</v>
      </c>
      <c r="C80" s="614" t="s">
        <v>53</v>
      </c>
      <c r="D80" s="697">
        <v>40994</v>
      </c>
      <c r="E80" s="698">
        <v>337</v>
      </c>
      <c r="F80" s="699">
        <v>64.97</v>
      </c>
      <c r="G80" s="700">
        <f t="shared" si="11"/>
        <v>21894.89</v>
      </c>
      <c r="H80" s="701"/>
      <c r="I80" s="697">
        <v>41015</v>
      </c>
      <c r="J80" s="699">
        <v>62.35</v>
      </c>
      <c r="K80" s="703">
        <f t="shared" si="12"/>
        <v>21011.95</v>
      </c>
      <c r="L80" s="704">
        <f t="shared" ref="L80:L98" si="13">SUM(K80-G80)</f>
        <v>-882.93999999999869</v>
      </c>
      <c r="M80" s="712">
        <v>1</v>
      </c>
      <c r="N80" s="813">
        <f t="shared" ref="N80:N98" si="14">SUM(K80-G80)*M80</f>
        <v>-882.93999999999869</v>
      </c>
      <c r="O80" s="706"/>
    </row>
    <row r="81" spans="1:15" s="548" customFormat="1" ht="15" customHeight="1">
      <c r="A81" s="690" t="s">
        <v>458</v>
      </c>
      <c r="B81" s="614" t="s">
        <v>459</v>
      </c>
      <c r="C81" s="614" t="s">
        <v>53</v>
      </c>
      <c r="D81" s="697">
        <v>40898</v>
      </c>
      <c r="E81" s="698">
        <v>490</v>
      </c>
      <c r="F81" s="699">
        <v>44.21</v>
      </c>
      <c r="G81" s="700">
        <f t="shared" si="11"/>
        <v>21662.9</v>
      </c>
      <c r="H81" s="701"/>
      <c r="I81" s="697">
        <v>41015</v>
      </c>
      <c r="J81" s="699">
        <v>43.46</v>
      </c>
      <c r="K81" s="703">
        <f t="shared" si="12"/>
        <v>21295.4</v>
      </c>
      <c r="L81" s="704">
        <f t="shared" si="13"/>
        <v>-367.5</v>
      </c>
      <c r="M81" s="712">
        <v>1</v>
      </c>
      <c r="N81" s="813">
        <f t="shared" si="14"/>
        <v>-367.5</v>
      </c>
      <c r="O81" s="706"/>
    </row>
    <row r="82" spans="1:15" s="548" customFormat="1" ht="15" customHeight="1">
      <c r="A82" s="690" t="s">
        <v>529</v>
      </c>
      <c r="B82" s="614" t="s">
        <v>530</v>
      </c>
      <c r="C82" s="614" t="s">
        <v>53</v>
      </c>
      <c r="D82" s="697">
        <v>40953</v>
      </c>
      <c r="E82" s="698">
        <v>65</v>
      </c>
      <c r="F82" s="699">
        <v>572.12</v>
      </c>
      <c r="G82" s="700">
        <f t="shared" si="11"/>
        <v>37187.800000000003</v>
      </c>
      <c r="H82" s="701"/>
      <c r="I82" s="697">
        <v>41015</v>
      </c>
      <c r="J82" s="699">
        <v>709.6</v>
      </c>
      <c r="K82" s="703">
        <f t="shared" si="12"/>
        <v>46124</v>
      </c>
      <c r="L82" s="704">
        <f t="shared" si="13"/>
        <v>8936.1999999999971</v>
      </c>
      <c r="M82" s="712">
        <v>1</v>
      </c>
      <c r="N82" s="813">
        <f t="shared" si="14"/>
        <v>8936.1999999999971</v>
      </c>
      <c r="O82" s="706"/>
    </row>
    <row r="83" spans="1:15" s="548" customFormat="1" ht="15" customHeight="1">
      <c r="A83" s="690" t="s">
        <v>531</v>
      </c>
      <c r="B83" s="614" t="s">
        <v>532</v>
      </c>
      <c r="C83" s="614" t="s">
        <v>53</v>
      </c>
      <c r="D83" s="697">
        <v>40948</v>
      </c>
      <c r="E83" s="698">
        <v>473</v>
      </c>
      <c r="F83" s="699">
        <v>61.12</v>
      </c>
      <c r="G83" s="700">
        <f t="shared" si="11"/>
        <v>28909.759999999998</v>
      </c>
      <c r="H83" s="701"/>
      <c r="I83" s="697">
        <v>41015</v>
      </c>
      <c r="J83" s="699">
        <v>65.540000000000006</v>
      </c>
      <c r="K83" s="703">
        <f t="shared" si="12"/>
        <v>31000.420000000002</v>
      </c>
      <c r="L83" s="704">
        <f t="shared" si="13"/>
        <v>2090.6600000000035</v>
      </c>
      <c r="M83" s="712">
        <v>1</v>
      </c>
      <c r="N83" s="813">
        <f t="shared" si="14"/>
        <v>2090.6600000000035</v>
      </c>
      <c r="O83" s="706"/>
    </row>
    <row r="84" spans="1:15" s="548" customFormat="1" ht="15" customHeight="1">
      <c r="A84" s="690" t="s">
        <v>533</v>
      </c>
      <c r="B84" s="614" t="s">
        <v>534</v>
      </c>
      <c r="C84" s="614" t="s">
        <v>53</v>
      </c>
      <c r="D84" s="697">
        <v>41031</v>
      </c>
      <c r="E84" s="698">
        <v>3846</v>
      </c>
      <c r="F84" s="699">
        <v>22.17</v>
      </c>
      <c r="G84" s="700">
        <f t="shared" si="11"/>
        <v>85265.82</v>
      </c>
      <c r="H84" s="701"/>
      <c r="I84" s="697">
        <v>41033</v>
      </c>
      <c r="J84" s="699">
        <v>21.91</v>
      </c>
      <c r="K84" s="703">
        <f t="shared" si="12"/>
        <v>84265.86</v>
      </c>
      <c r="L84" s="704">
        <f t="shared" si="13"/>
        <v>-999.9600000000064</v>
      </c>
      <c r="M84" s="712">
        <v>1</v>
      </c>
      <c r="N84" s="813">
        <f t="shared" si="14"/>
        <v>-999.9600000000064</v>
      </c>
      <c r="O84" s="706"/>
    </row>
    <row r="85" spans="1:15" s="548" customFormat="1" ht="15" customHeight="1">
      <c r="A85" s="690" t="s">
        <v>535</v>
      </c>
      <c r="B85" s="614" t="s">
        <v>536</v>
      </c>
      <c r="C85" s="614" t="s">
        <v>53</v>
      </c>
      <c r="D85" s="697">
        <v>41026</v>
      </c>
      <c r="E85" s="698">
        <v>714</v>
      </c>
      <c r="F85" s="699">
        <v>55.7</v>
      </c>
      <c r="G85" s="700">
        <f t="shared" si="11"/>
        <v>39769.800000000003</v>
      </c>
      <c r="H85" s="701"/>
      <c r="I85" s="697">
        <v>41033</v>
      </c>
      <c r="J85" s="699">
        <v>54.32</v>
      </c>
      <c r="K85" s="703">
        <f t="shared" si="12"/>
        <v>38784.480000000003</v>
      </c>
      <c r="L85" s="704">
        <f t="shared" si="13"/>
        <v>-985.31999999999971</v>
      </c>
      <c r="M85" s="712">
        <v>1</v>
      </c>
      <c r="N85" s="813">
        <f t="shared" si="14"/>
        <v>-985.31999999999971</v>
      </c>
      <c r="O85" s="706"/>
    </row>
    <row r="86" spans="1:15" s="548" customFormat="1" ht="15" customHeight="1">
      <c r="A86" s="690" t="s">
        <v>537</v>
      </c>
      <c r="B86" s="614" t="s">
        <v>538</v>
      </c>
      <c r="C86" s="614" t="s">
        <v>53</v>
      </c>
      <c r="D86" s="697">
        <v>40940</v>
      </c>
      <c r="E86" s="698">
        <v>455</v>
      </c>
      <c r="F86" s="699">
        <v>83.53</v>
      </c>
      <c r="G86" s="700">
        <f t="shared" si="11"/>
        <v>38006.15</v>
      </c>
      <c r="H86" s="701"/>
      <c r="I86" s="697">
        <v>41033</v>
      </c>
      <c r="J86" s="699">
        <v>88.71</v>
      </c>
      <c r="K86" s="703">
        <f t="shared" si="12"/>
        <v>40363.049999999996</v>
      </c>
      <c r="L86" s="704">
        <f t="shared" si="13"/>
        <v>2356.8999999999942</v>
      </c>
      <c r="M86" s="712">
        <v>1</v>
      </c>
      <c r="N86" s="813">
        <f t="shared" si="14"/>
        <v>2356.8999999999942</v>
      </c>
      <c r="O86" s="706"/>
    </row>
    <row r="87" spans="1:15" s="548" customFormat="1" ht="15" customHeight="1">
      <c r="A87" s="690" t="s">
        <v>539</v>
      </c>
      <c r="B87" s="614" t="s">
        <v>540</v>
      </c>
      <c r="C87" s="614" t="s">
        <v>53</v>
      </c>
      <c r="D87" s="697">
        <v>40917</v>
      </c>
      <c r="E87" s="698">
        <v>450</v>
      </c>
      <c r="F87" s="699">
        <v>37.22</v>
      </c>
      <c r="G87" s="700">
        <f t="shared" si="11"/>
        <v>16749</v>
      </c>
      <c r="H87" s="701"/>
      <c r="I87" s="697">
        <v>41033</v>
      </c>
      <c r="J87" s="699">
        <v>41.23</v>
      </c>
      <c r="K87" s="703">
        <f t="shared" si="12"/>
        <v>18553.5</v>
      </c>
      <c r="L87" s="704">
        <f t="shared" si="13"/>
        <v>1804.5</v>
      </c>
      <c r="M87" s="712">
        <v>1</v>
      </c>
      <c r="N87" s="813">
        <f t="shared" si="14"/>
        <v>1804.5</v>
      </c>
      <c r="O87" s="706"/>
    </row>
    <row r="88" spans="1:15" s="548" customFormat="1" ht="15" customHeight="1">
      <c r="A88" s="690" t="s">
        <v>541</v>
      </c>
      <c r="B88" s="614" t="s">
        <v>542</v>
      </c>
      <c r="C88" s="614" t="s">
        <v>53</v>
      </c>
      <c r="D88" s="697">
        <v>41030</v>
      </c>
      <c r="E88" s="698">
        <v>1020</v>
      </c>
      <c r="F88" s="699">
        <v>33.89</v>
      </c>
      <c r="G88" s="700">
        <f t="shared" si="11"/>
        <v>34567.800000000003</v>
      </c>
      <c r="H88" s="701"/>
      <c r="I88" s="697">
        <v>41043</v>
      </c>
      <c r="J88" s="699">
        <v>32.909999999999997</v>
      </c>
      <c r="K88" s="703">
        <f t="shared" si="12"/>
        <v>33568.199999999997</v>
      </c>
      <c r="L88" s="704">
        <f t="shared" si="13"/>
        <v>-999.60000000000582</v>
      </c>
      <c r="M88" s="712">
        <v>1</v>
      </c>
      <c r="N88" s="813">
        <f t="shared" si="14"/>
        <v>-999.60000000000582</v>
      </c>
      <c r="O88" s="706"/>
    </row>
    <row r="89" spans="1:15" s="548" customFormat="1" ht="15" customHeight="1">
      <c r="A89" s="690" t="s">
        <v>543</v>
      </c>
      <c r="B89" s="614" t="s">
        <v>544</v>
      </c>
      <c r="C89" s="614" t="s">
        <v>53</v>
      </c>
      <c r="D89" s="697">
        <v>40945</v>
      </c>
      <c r="E89" s="698">
        <v>634</v>
      </c>
      <c r="F89" s="699">
        <v>29.97</v>
      </c>
      <c r="G89" s="700">
        <f t="shared" si="11"/>
        <v>19000.98</v>
      </c>
      <c r="H89" s="701"/>
      <c r="I89" s="697">
        <v>41044</v>
      </c>
      <c r="J89" s="699">
        <v>31.58</v>
      </c>
      <c r="K89" s="703">
        <f t="shared" si="12"/>
        <v>20021.719999999998</v>
      </c>
      <c r="L89" s="704">
        <f t="shared" si="13"/>
        <v>1020.739999999998</v>
      </c>
      <c r="M89" s="712">
        <v>1</v>
      </c>
      <c r="N89" s="813">
        <f t="shared" si="14"/>
        <v>1020.739999999998</v>
      </c>
      <c r="O89" s="706"/>
    </row>
    <row r="90" spans="1:15" s="548" customFormat="1" ht="15" customHeight="1">
      <c r="A90" s="698" t="s">
        <v>545</v>
      </c>
      <c r="B90" s="614" t="s">
        <v>546</v>
      </c>
      <c r="C90" s="614" t="s">
        <v>53</v>
      </c>
      <c r="D90" s="697">
        <v>40945</v>
      </c>
      <c r="E90" s="698">
        <v>388</v>
      </c>
      <c r="F90" s="699">
        <v>28.52</v>
      </c>
      <c r="G90" s="700">
        <f t="shared" si="11"/>
        <v>11065.76</v>
      </c>
      <c r="H90" s="701"/>
      <c r="I90" s="697">
        <v>41044</v>
      </c>
      <c r="J90" s="699">
        <v>31.09</v>
      </c>
      <c r="K90" s="703">
        <f t="shared" si="12"/>
        <v>12062.92</v>
      </c>
      <c r="L90" s="704">
        <f t="shared" si="13"/>
        <v>997.15999999999985</v>
      </c>
      <c r="M90" s="712">
        <v>1</v>
      </c>
      <c r="N90" s="813">
        <f t="shared" si="14"/>
        <v>997.15999999999985</v>
      </c>
      <c r="O90" s="706"/>
    </row>
    <row r="91" spans="1:15" s="548" customFormat="1" ht="15" customHeight="1">
      <c r="A91" s="690" t="s">
        <v>547</v>
      </c>
      <c r="B91" s="614" t="s">
        <v>548</v>
      </c>
      <c r="C91" s="614" t="s">
        <v>53</v>
      </c>
      <c r="D91" s="697">
        <v>40981</v>
      </c>
      <c r="E91" s="698">
        <v>980</v>
      </c>
      <c r="F91" s="699">
        <v>54.31</v>
      </c>
      <c r="G91" s="700">
        <f t="shared" si="11"/>
        <v>53223.8</v>
      </c>
      <c r="H91" s="701"/>
      <c r="I91" s="697">
        <v>41045</v>
      </c>
      <c r="J91" s="699">
        <v>57.53</v>
      </c>
      <c r="K91" s="703">
        <f t="shared" si="12"/>
        <v>56379.4</v>
      </c>
      <c r="L91" s="704">
        <f t="shared" si="13"/>
        <v>3155.5999999999985</v>
      </c>
      <c r="M91" s="712">
        <v>1</v>
      </c>
      <c r="N91" s="813">
        <f t="shared" si="14"/>
        <v>3155.5999999999985</v>
      </c>
      <c r="O91" s="706"/>
    </row>
    <row r="92" spans="1:15" s="548" customFormat="1" ht="15" customHeight="1">
      <c r="A92" s="698" t="s">
        <v>549</v>
      </c>
      <c r="B92" s="614" t="s">
        <v>550</v>
      </c>
      <c r="C92" s="614" t="s">
        <v>53</v>
      </c>
      <c r="D92" s="697">
        <v>41015</v>
      </c>
      <c r="E92" s="698">
        <v>300</v>
      </c>
      <c r="F92" s="699">
        <v>142.4</v>
      </c>
      <c r="G92" s="700">
        <f t="shared" si="11"/>
        <v>42720</v>
      </c>
      <c r="H92" s="701"/>
      <c r="I92" s="697">
        <v>41045</v>
      </c>
      <c r="J92" s="699">
        <v>142.9</v>
      </c>
      <c r="K92" s="703">
        <f t="shared" si="12"/>
        <v>42870</v>
      </c>
      <c r="L92" s="704">
        <f t="shared" si="13"/>
        <v>150</v>
      </c>
      <c r="M92" s="712">
        <v>1</v>
      </c>
      <c r="N92" s="813">
        <f t="shared" si="14"/>
        <v>150</v>
      </c>
      <c r="O92" s="706"/>
    </row>
    <row r="93" spans="1:15" s="548" customFormat="1" ht="15" customHeight="1">
      <c r="A93" s="690" t="s">
        <v>551</v>
      </c>
      <c r="B93" s="614" t="s">
        <v>552</v>
      </c>
      <c r="C93" s="614" t="s">
        <v>53</v>
      </c>
      <c r="D93" s="697">
        <v>40945</v>
      </c>
      <c r="E93" s="698">
        <v>376</v>
      </c>
      <c r="F93" s="699">
        <v>91.38</v>
      </c>
      <c r="G93" s="700">
        <f t="shared" si="11"/>
        <v>34358.879999999997</v>
      </c>
      <c r="H93" s="701"/>
      <c r="I93" s="697">
        <v>41046</v>
      </c>
      <c r="J93" s="699">
        <v>90.62</v>
      </c>
      <c r="K93" s="703">
        <f t="shared" si="12"/>
        <v>34073.120000000003</v>
      </c>
      <c r="L93" s="704">
        <f t="shared" si="13"/>
        <v>-285.75999999999476</v>
      </c>
      <c r="M93" s="712">
        <v>1</v>
      </c>
      <c r="N93" s="813">
        <f t="shared" si="14"/>
        <v>-285.75999999999476</v>
      </c>
      <c r="O93" s="706"/>
    </row>
    <row r="94" spans="1:15" s="548" customFormat="1" ht="15" customHeight="1">
      <c r="A94" s="698" t="s">
        <v>553</v>
      </c>
      <c r="B94" s="614" t="s">
        <v>554</v>
      </c>
      <c r="C94" s="614" t="s">
        <v>53</v>
      </c>
      <c r="D94" s="697">
        <v>41039</v>
      </c>
      <c r="E94" s="698">
        <v>400</v>
      </c>
      <c r="F94" s="699">
        <v>100.9</v>
      </c>
      <c r="G94" s="700">
        <f t="shared" si="11"/>
        <v>40360</v>
      </c>
      <c r="H94" s="701"/>
      <c r="I94" s="697">
        <v>41046</v>
      </c>
      <c r="J94" s="699">
        <v>98.39</v>
      </c>
      <c r="K94" s="703">
        <f t="shared" si="12"/>
        <v>39356</v>
      </c>
      <c r="L94" s="704">
        <f t="shared" si="13"/>
        <v>-1004</v>
      </c>
      <c r="M94" s="712">
        <v>1</v>
      </c>
      <c r="N94" s="813">
        <f t="shared" si="14"/>
        <v>-1004</v>
      </c>
      <c r="O94" s="706"/>
    </row>
    <row r="95" spans="1:15" s="548" customFormat="1" ht="15" customHeight="1">
      <c r="A95" s="698" t="s">
        <v>555</v>
      </c>
      <c r="B95" s="614" t="s">
        <v>478</v>
      </c>
      <c r="C95" s="614" t="s">
        <v>53</v>
      </c>
      <c r="D95" s="697">
        <v>41030</v>
      </c>
      <c r="E95" s="698">
        <v>414</v>
      </c>
      <c r="F95" s="699">
        <v>43.19</v>
      </c>
      <c r="G95" s="700">
        <f t="shared" si="11"/>
        <v>17880.66</v>
      </c>
      <c r="H95" s="701"/>
      <c r="I95" s="697">
        <v>41046</v>
      </c>
      <c r="J95" s="699">
        <v>40.97</v>
      </c>
      <c r="K95" s="703">
        <f t="shared" si="12"/>
        <v>16961.579999999998</v>
      </c>
      <c r="L95" s="704">
        <f t="shared" si="13"/>
        <v>-919.08000000000175</v>
      </c>
      <c r="M95" s="712">
        <v>1</v>
      </c>
      <c r="N95" s="813">
        <f t="shared" si="14"/>
        <v>-919.08000000000175</v>
      </c>
      <c r="O95" s="706"/>
    </row>
    <row r="96" spans="1:15" s="548" customFormat="1" ht="15" customHeight="1">
      <c r="A96" s="698" t="s">
        <v>556</v>
      </c>
      <c r="B96" s="614" t="s">
        <v>557</v>
      </c>
      <c r="C96" s="614" t="s">
        <v>53</v>
      </c>
      <c r="D96" s="697">
        <v>40945</v>
      </c>
      <c r="E96" s="698">
        <v>332</v>
      </c>
      <c r="F96" s="699">
        <v>59.13</v>
      </c>
      <c r="G96" s="700">
        <f t="shared" si="11"/>
        <v>19631.16</v>
      </c>
      <c r="H96" s="701"/>
      <c r="I96" s="697">
        <v>41046</v>
      </c>
      <c r="J96" s="699">
        <v>68.98</v>
      </c>
      <c r="K96" s="703">
        <f t="shared" si="12"/>
        <v>22901.360000000001</v>
      </c>
      <c r="L96" s="704">
        <f t="shared" si="13"/>
        <v>3270.2000000000007</v>
      </c>
      <c r="M96" s="712">
        <v>1</v>
      </c>
      <c r="N96" s="813">
        <f t="shared" si="14"/>
        <v>3270.2000000000007</v>
      </c>
      <c r="O96" s="706"/>
    </row>
    <row r="97" spans="1:15" s="548" customFormat="1" ht="15" customHeight="1">
      <c r="A97" s="698" t="s">
        <v>558</v>
      </c>
      <c r="B97" s="614" t="s">
        <v>559</v>
      </c>
      <c r="C97" s="614" t="s">
        <v>53</v>
      </c>
      <c r="D97" s="697">
        <v>41039</v>
      </c>
      <c r="E97" s="698">
        <v>1428</v>
      </c>
      <c r="F97" s="699">
        <v>34.29</v>
      </c>
      <c r="G97" s="700">
        <f t="shared" si="11"/>
        <v>48966.119999999995</v>
      </c>
      <c r="H97" s="701"/>
      <c r="I97" s="697">
        <v>41047</v>
      </c>
      <c r="J97" s="699">
        <v>33.590000000000003</v>
      </c>
      <c r="K97" s="703">
        <f t="shared" si="12"/>
        <v>47966.520000000004</v>
      </c>
      <c r="L97" s="704">
        <f t="shared" si="13"/>
        <v>-999.59999999999127</v>
      </c>
      <c r="M97" s="712">
        <v>1</v>
      </c>
      <c r="N97" s="813">
        <f t="shared" si="14"/>
        <v>-999.59999999999127</v>
      </c>
      <c r="O97" s="706"/>
    </row>
    <row r="98" spans="1:15" s="548" customFormat="1" ht="15" customHeight="1">
      <c r="A98" s="696" t="s">
        <v>560</v>
      </c>
      <c r="B98" s="613" t="s">
        <v>561</v>
      </c>
      <c r="C98" s="613" t="s">
        <v>78</v>
      </c>
      <c r="D98" s="707">
        <v>41043</v>
      </c>
      <c r="E98" s="696">
        <v>602</v>
      </c>
      <c r="F98" s="708">
        <v>54.91</v>
      </c>
      <c r="G98" s="709">
        <f>SUM(E98*F98)</f>
        <v>33055.82</v>
      </c>
      <c r="H98" s="710"/>
      <c r="I98" s="707">
        <v>41051</v>
      </c>
      <c r="J98" s="708">
        <v>56.83</v>
      </c>
      <c r="K98" s="711">
        <f>SUM(E98*J98)</f>
        <v>34211.659999999996</v>
      </c>
      <c r="L98" s="704">
        <f t="shared" si="13"/>
        <v>1155.8399999999965</v>
      </c>
      <c r="M98" s="712">
        <v>1</v>
      </c>
      <c r="N98" s="813">
        <f t="shared" si="14"/>
        <v>1155.8399999999965</v>
      </c>
      <c r="O98" s="706"/>
    </row>
    <row r="99" spans="1:15" s="548" customFormat="1" ht="15" customHeight="1">
      <c r="A99" s="698" t="s">
        <v>562</v>
      </c>
      <c r="B99" s="614" t="s">
        <v>563</v>
      </c>
      <c r="C99" s="614" t="s">
        <v>53</v>
      </c>
      <c r="D99" s="697">
        <v>41039</v>
      </c>
      <c r="E99" s="698">
        <v>1071</v>
      </c>
      <c r="F99" s="699">
        <v>47.21</v>
      </c>
      <c r="G99" s="700">
        <f t="shared" si="11"/>
        <v>50561.91</v>
      </c>
      <c r="H99" s="701"/>
      <c r="I99" s="697">
        <v>41052</v>
      </c>
      <c r="J99" s="699">
        <v>46.89</v>
      </c>
      <c r="K99" s="703">
        <f t="shared" si="12"/>
        <v>50219.19</v>
      </c>
      <c r="L99" s="704">
        <f>SUM(K99-G99)</f>
        <v>-342.72000000000116</v>
      </c>
      <c r="M99" s="712">
        <v>1</v>
      </c>
      <c r="N99" s="813">
        <f>SUM(G99-K99)*M99</f>
        <v>342.72000000000116</v>
      </c>
      <c r="O99" s="706"/>
    </row>
    <row r="100" spans="1:15" s="548" customFormat="1" ht="15" customHeight="1">
      <c r="A100" s="696" t="s">
        <v>564</v>
      </c>
      <c r="B100" s="613" t="s">
        <v>565</v>
      </c>
      <c r="C100" s="613" t="s">
        <v>78</v>
      </c>
      <c r="D100" s="707">
        <v>41044</v>
      </c>
      <c r="E100" s="696">
        <v>909</v>
      </c>
      <c r="F100" s="708">
        <v>31.06</v>
      </c>
      <c r="G100" s="709">
        <f>SUM(E100*F100)</f>
        <v>28233.539999999997</v>
      </c>
      <c r="H100" s="710"/>
      <c r="I100" s="707">
        <v>41058</v>
      </c>
      <c r="J100" s="708">
        <v>32.159999999999997</v>
      </c>
      <c r="K100" s="711">
        <f>SUM(E100*J100)</f>
        <v>29233.439999999999</v>
      </c>
      <c r="L100" s="713">
        <f>SUM(G100-K100)</f>
        <v>-999.90000000000146</v>
      </c>
      <c r="M100" s="712">
        <v>1</v>
      </c>
      <c r="N100" s="813">
        <f>SUM(G100-K100)*M100</f>
        <v>-999.90000000000146</v>
      </c>
      <c r="O100" s="706"/>
    </row>
    <row r="101" spans="1:15" s="548" customFormat="1" ht="15" customHeight="1">
      <c r="A101" s="690" t="s">
        <v>566</v>
      </c>
      <c r="B101" s="614" t="s">
        <v>567</v>
      </c>
      <c r="C101" s="614" t="s">
        <v>53</v>
      </c>
      <c r="D101" s="697">
        <v>40945</v>
      </c>
      <c r="E101" s="698">
        <v>333</v>
      </c>
      <c r="F101" s="699">
        <v>52.76</v>
      </c>
      <c r="G101" s="700">
        <f t="shared" si="11"/>
        <v>17569.079999999998</v>
      </c>
      <c r="H101" s="701"/>
      <c r="I101" s="697">
        <v>41061</v>
      </c>
      <c r="J101" s="699">
        <v>55.26</v>
      </c>
      <c r="K101" s="703">
        <f t="shared" si="12"/>
        <v>18401.579999999998</v>
      </c>
      <c r="L101" s="704">
        <f>SUM(K101-G101)</f>
        <v>832.5</v>
      </c>
      <c r="M101" s="712">
        <v>1</v>
      </c>
      <c r="N101" s="813">
        <f>SUM(K101-G101)*M101</f>
        <v>832.5</v>
      </c>
      <c r="O101" s="706"/>
    </row>
    <row r="102" spans="1:15" s="548" customFormat="1" ht="15" customHeight="1">
      <c r="A102" s="698" t="s">
        <v>568</v>
      </c>
      <c r="B102" s="614" t="s">
        <v>569</v>
      </c>
      <c r="C102" s="614" t="s">
        <v>53</v>
      </c>
      <c r="D102" s="697">
        <v>41029</v>
      </c>
      <c r="E102" s="698">
        <v>649</v>
      </c>
      <c r="F102" s="699">
        <v>65.319999999999993</v>
      </c>
      <c r="G102" s="700">
        <f t="shared" si="11"/>
        <v>42392.679999999993</v>
      </c>
      <c r="H102" s="701"/>
      <c r="I102" s="697">
        <v>41061</v>
      </c>
      <c r="J102" s="699">
        <v>63.78</v>
      </c>
      <c r="K102" s="703">
        <f t="shared" si="12"/>
        <v>41393.22</v>
      </c>
      <c r="L102" s="704">
        <f>SUM(K102-G102)</f>
        <v>-999.45999999999185</v>
      </c>
      <c r="M102" s="712">
        <v>1</v>
      </c>
      <c r="N102" s="813">
        <f>SUM(K102-G102)*M102</f>
        <v>-999.45999999999185</v>
      </c>
      <c r="O102" s="706"/>
    </row>
    <row r="103" spans="1:15" s="548" customFormat="1" ht="15" customHeight="1">
      <c r="A103" s="696" t="s">
        <v>570</v>
      </c>
      <c r="B103" s="613" t="s">
        <v>571</v>
      </c>
      <c r="C103" s="613" t="s">
        <v>78</v>
      </c>
      <c r="D103" s="707">
        <v>41058</v>
      </c>
      <c r="E103" s="696">
        <v>632</v>
      </c>
      <c r="F103" s="708">
        <v>36.69</v>
      </c>
      <c r="G103" s="709">
        <f>SUM(E103*F103)</f>
        <v>23188.079999999998</v>
      </c>
      <c r="H103" s="710"/>
      <c r="I103" s="707">
        <v>41067</v>
      </c>
      <c r="J103" s="708">
        <v>38.03</v>
      </c>
      <c r="K103" s="711">
        <f>SUM(E103*J103)</f>
        <v>24034.959999999999</v>
      </c>
      <c r="L103" s="713">
        <f>SUM(G103-K103)</f>
        <v>-846.88000000000102</v>
      </c>
      <c r="M103" s="712">
        <v>1</v>
      </c>
      <c r="N103" s="813">
        <f>SUM(G103-K103)*M103</f>
        <v>-846.88000000000102</v>
      </c>
      <c r="O103" s="706"/>
    </row>
    <row r="104" spans="1:15" s="548" customFormat="1" ht="15" customHeight="1">
      <c r="A104" s="696" t="s">
        <v>501</v>
      </c>
      <c r="B104" s="613" t="s">
        <v>502</v>
      </c>
      <c r="C104" s="613" t="s">
        <v>78</v>
      </c>
      <c r="D104" s="707">
        <v>41064</v>
      </c>
      <c r="E104" s="696">
        <v>472</v>
      </c>
      <c r="F104" s="708">
        <v>61.71</v>
      </c>
      <c r="G104" s="709">
        <f>SUM(E104*F104)</f>
        <v>29127.119999999999</v>
      </c>
      <c r="H104" s="710"/>
      <c r="I104" s="707">
        <v>41067</v>
      </c>
      <c r="J104" s="708">
        <v>64.13</v>
      </c>
      <c r="K104" s="711">
        <f>SUM(E104*J104)</f>
        <v>30269.359999999997</v>
      </c>
      <c r="L104" s="713">
        <f>SUM(G104-K104)</f>
        <v>-1142.239999999998</v>
      </c>
      <c r="M104" s="712">
        <v>1</v>
      </c>
      <c r="N104" s="813">
        <f>SUM(G104-K104)*M104</f>
        <v>-1142.239999999998</v>
      </c>
      <c r="O104" s="706"/>
    </row>
    <row r="105" spans="1:15" s="548" customFormat="1" ht="15" customHeight="1">
      <c r="A105" s="696" t="s">
        <v>572</v>
      </c>
      <c r="B105" s="613" t="s">
        <v>573</v>
      </c>
      <c r="C105" s="613" t="s">
        <v>78</v>
      </c>
      <c r="D105" s="707">
        <v>41064</v>
      </c>
      <c r="E105" s="696">
        <v>202</v>
      </c>
      <c r="F105" s="708">
        <v>120.3</v>
      </c>
      <c r="G105" s="709">
        <f>SUM(E105*F105)</f>
        <v>24300.6</v>
      </c>
      <c r="H105" s="710"/>
      <c r="I105" s="707">
        <v>41108</v>
      </c>
      <c r="J105" s="708">
        <v>127.7</v>
      </c>
      <c r="K105" s="711">
        <f>SUM(E105*J105)</f>
        <v>25795.4</v>
      </c>
      <c r="L105" s="713">
        <f>SUM(G105-K105)</f>
        <v>-1494.8000000000029</v>
      </c>
      <c r="M105" s="712">
        <v>1</v>
      </c>
      <c r="N105" s="813">
        <f>SUM(G105-K105)*M105</f>
        <v>-1494.8000000000029</v>
      </c>
      <c r="O105" s="706"/>
    </row>
    <row r="106" spans="1:15" s="548" customFormat="1" ht="15" customHeight="1">
      <c r="A106" s="696" t="s">
        <v>574</v>
      </c>
      <c r="B106" s="613" t="s">
        <v>575</v>
      </c>
      <c r="C106" s="613" t="s">
        <v>78</v>
      </c>
      <c r="D106" s="707">
        <v>41072</v>
      </c>
      <c r="E106" s="696">
        <v>467</v>
      </c>
      <c r="F106" s="708">
        <v>38.33</v>
      </c>
      <c r="G106" s="709">
        <f>SUM(E106*F106)</f>
        <v>17900.11</v>
      </c>
      <c r="H106" s="710"/>
      <c r="I106" s="707">
        <v>41109</v>
      </c>
      <c r="J106" s="708">
        <v>40.47</v>
      </c>
      <c r="K106" s="711">
        <f>SUM(E106*J106)</f>
        <v>18899.489999999998</v>
      </c>
      <c r="L106" s="713">
        <f>SUM(G106-K106)</f>
        <v>-999.37999999999738</v>
      </c>
      <c r="M106" s="712">
        <v>1</v>
      </c>
      <c r="N106" s="813">
        <f>SUM(G106-K106)*M106</f>
        <v>-999.37999999999738</v>
      </c>
      <c r="O106" s="706"/>
    </row>
    <row r="107" spans="1:15" s="548" customFormat="1" ht="15" customHeight="1">
      <c r="A107" s="690" t="s">
        <v>505</v>
      </c>
      <c r="B107" s="614" t="s">
        <v>506</v>
      </c>
      <c r="C107" s="614" t="s">
        <v>53</v>
      </c>
      <c r="D107" s="697">
        <v>41065</v>
      </c>
      <c r="E107" s="698">
        <v>999</v>
      </c>
      <c r="F107" s="699">
        <v>28.24</v>
      </c>
      <c r="G107" s="700">
        <f>SUM(E107*F107)</f>
        <v>28211.759999999998</v>
      </c>
      <c r="H107" s="701"/>
      <c r="I107" s="697">
        <v>41085</v>
      </c>
      <c r="J107" s="699">
        <v>27.62</v>
      </c>
      <c r="K107" s="703">
        <f>SUM(E107*J107)</f>
        <v>27592.38</v>
      </c>
      <c r="L107" s="704">
        <f>SUM(K107-G107)</f>
        <v>-619.37999999999738</v>
      </c>
      <c r="M107" s="712">
        <v>1</v>
      </c>
      <c r="N107" s="813">
        <f>SUM(K107-G107)*M107</f>
        <v>-619.37999999999738</v>
      </c>
      <c r="O107" s="706"/>
    </row>
    <row r="108" spans="1:15" s="548" customFormat="1" ht="15" customHeight="1">
      <c r="A108" s="696" t="s">
        <v>576</v>
      </c>
      <c r="B108" s="613" t="s">
        <v>577</v>
      </c>
      <c r="C108" s="613" t="s">
        <v>78</v>
      </c>
      <c r="D108" s="707">
        <v>41043</v>
      </c>
      <c r="E108" s="696">
        <v>658</v>
      </c>
      <c r="F108" s="708">
        <v>29.26</v>
      </c>
      <c r="G108" s="709">
        <f t="shared" ref="G108:G113" si="15">SUM(E108*F108)</f>
        <v>19253.080000000002</v>
      </c>
      <c r="H108" s="710"/>
      <c r="I108" s="707">
        <v>41088</v>
      </c>
      <c r="J108" s="708">
        <v>29.92</v>
      </c>
      <c r="K108" s="711">
        <f t="shared" ref="K108:K113" si="16">SUM(E108*J108)</f>
        <v>19687.36</v>
      </c>
      <c r="L108" s="713">
        <f t="shared" ref="L108:L113" si="17">SUM(G108-K108)</f>
        <v>-434.27999999999884</v>
      </c>
      <c r="M108" s="712">
        <v>1</v>
      </c>
      <c r="N108" s="813">
        <f t="shared" ref="N108:N113" si="18">SUM(G108-K108)*M108</f>
        <v>-434.27999999999884</v>
      </c>
      <c r="O108" s="706"/>
    </row>
    <row r="109" spans="1:15" s="548" customFormat="1" ht="15" customHeight="1">
      <c r="A109" s="696" t="s">
        <v>578</v>
      </c>
      <c r="B109" s="613" t="s">
        <v>579</v>
      </c>
      <c r="C109" s="613" t="s">
        <v>78</v>
      </c>
      <c r="D109" s="707">
        <v>41064</v>
      </c>
      <c r="E109" s="696">
        <v>998</v>
      </c>
      <c r="F109" s="708">
        <v>11.65</v>
      </c>
      <c r="G109" s="709">
        <f t="shared" si="15"/>
        <v>11626.7</v>
      </c>
      <c r="H109" s="710"/>
      <c r="I109" s="707">
        <v>41089</v>
      </c>
      <c r="J109" s="708">
        <v>12.91</v>
      </c>
      <c r="K109" s="711">
        <f t="shared" si="16"/>
        <v>12884.18</v>
      </c>
      <c r="L109" s="713">
        <f t="shared" si="17"/>
        <v>-1257.4799999999996</v>
      </c>
      <c r="M109" s="712">
        <v>1</v>
      </c>
      <c r="N109" s="813">
        <f t="shared" si="18"/>
        <v>-1257.4799999999996</v>
      </c>
      <c r="O109" s="706"/>
    </row>
    <row r="110" spans="1:15" s="548" customFormat="1" ht="15" customHeight="1">
      <c r="A110" s="696" t="s">
        <v>580</v>
      </c>
      <c r="B110" s="613" t="s">
        <v>542</v>
      </c>
      <c r="C110" s="613" t="s">
        <v>78</v>
      </c>
      <c r="D110" s="707">
        <v>41085</v>
      </c>
      <c r="E110" s="696">
        <v>1339</v>
      </c>
      <c r="F110" s="708">
        <v>30.87</v>
      </c>
      <c r="G110" s="709">
        <f t="shared" si="15"/>
        <v>41334.93</v>
      </c>
      <c r="H110" s="710"/>
      <c r="I110" s="707">
        <v>41089</v>
      </c>
      <c r="J110" s="708">
        <v>31.95</v>
      </c>
      <c r="K110" s="711">
        <f t="shared" si="16"/>
        <v>42781.049999999996</v>
      </c>
      <c r="L110" s="713">
        <f t="shared" si="17"/>
        <v>-1446.1199999999953</v>
      </c>
      <c r="M110" s="712">
        <v>1</v>
      </c>
      <c r="N110" s="813">
        <f t="shared" si="18"/>
        <v>-1446.1199999999953</v>
      </c>
      <c r="O110" s="706"/>
    </row>
    <row r="111" spans="1:15" s="548" customFormat="1" ht="15" customHeight="1">
      <c r="A111" s="696" t="s">
        <v>581</v>
      </c>
      <c r="B111" s="613" t="s">
        <v>582</v>
      </c>
      <c r="C111" s="613" t="s">
        <v>78</v>
      </c>
      <c r="D111" s="707">
        <v>41043</v>
      </c>
      <c r="E111" s="696">
        <v>590</v>
      </c>
      <c r="F111" s="708">
        <v>48.43</v>
      </c>
      <c r="G111" s="709">
        <f t="shared" si="15"/>
        <v>28573.7</v>
      </c>
      <c r="H111" s="710"/>
      <c r="I111" s="707">
        <v>41093</v>
      </c>
      <c r="J111" s="708">
        <v>50.97</v>
      </c>
      <c r="K111" s="711">
        <f t="shared" si="16"/>
        <v>30072.3</v>
      </c>
      <c r="L111" s="713">
        <f t="shared" si="17"/>
        <v>-1498.5999999999985</v>
      </c>
      <c r="M111" s="712">
        <v>1</v>
      </c>
      <c r="N111" s="813">
        <f t="shared" si="18"/>
        <v>-1498.5999999999985</v>
      </c>
      <c r="O111" s="706"/>
    </row>
    <row r="112" spans="1:15" s="548" customFormat="1" ht="15" customHeight="1">
      <c r="A112" s="696" t="s">
        <v>583</v>
      </c>
      <c r="B112" s="613" t="s">
        <v>584</v>
      </c>
      <c r="C112" s="613" t="s">
        <v>78</v>
      </c>
      <c r="D112" s="707">
        <v>41086</v>
      </c>
      <c r="E112" s="696">
        <v>735</v>
      </c>
      <c r="F112" s="708">
        <v>74.010000000000005</v>
      </c>
      <c r="G112" s="709">
        <f t="shared" si="15"/>
        <v>54397.350000000006</v>
      </c>
      <c r="H112" s="710"/>
      <c r="I112" s="707">
        <v>41093</v>
      </c>
      <c r="J112" s="708">
        <v>76.05</v>
      </c>
      <c r="K112" s="711">
        <f t="shared" si="16"/>
        <v>55896.75</v>
      </c>
      <c r="L112" s="713">
        <f t="shared" si="17"/>
        <v>-1499.3999999999942</v>
      </c>
      <c r="M112" s="712">
        <v>1</v>
      </c>
      <c r="N112" s="813">
        <f t="shared" si="18"/>
        <v>-1499.3999999999942</v>
      </c>
      <c r="O112" s="706"/>
    </row>
    <row r="113" spans="1:15" s="548" customFormat="1" ht="15" customHeight="1">
      <c r="A113" s="696" t="s">
        <v>372</v>
      </c>
      <c r="B113" s="613" t="s">
        <v>373</v>
      </c>
      <c r="C113" s="613" t="s">
        <v>78</v>
      </c>
      <c r="D113" s="707">
        <v>41044</v>
      </c>
      <c r="E113" s="696">
        <v>568</v>
      </c>
      <c r="F113" s="708">
        <v>23.96</v>
      </c>
      <c r="G113" s="709">
        <f t="shared" si="15"/>
        <v>13609.28</v>
      </c>
      <c r="H113" s="710"/>
      <c r="I113" s="707">
        <v>41094</v>
      </c>
      <c r="J113" s="708">
        <v>21.12</v>
      </c>
      <c r="K113" s="711">
        <f t="shared" si="16"/>
        <v>11996.16</v>
      </c>
      <c r="L113" s="704">
        <f t="shared" si="17"/>
        <v>1613.1200000000008</v>
      </c>
      <c r="M113" s="712">
        <v>1</v>
      </c>
      <c r="N113" s="813">
        <f t="shared" si="18"/>
        <v>1613.1200000000008</v>
      </c>
      <c r="O113" s="706"/>
    </row>
    <row r="114" spans="1:15" s="548" customFormat="1" ht="15" customHeight="1">
      <c r="A114" s="698" t="s">
        <v>585</v>
      </c>
      <c r="B114" s="614" t="s">
        <v>369</v>
      </c>
      <c r="C114" s="614" t="s">
        <v>53</v>
      </c>
      <c r="D114" s="697">
        <v>41100</v>
      </c>
      <c r="E114" s="698">
        <v>847</v>
      </c>
      <c r="F114" s="699">
        <v>34.74</v>
      </c>
      <c r="G114" s="700">
        <f t="shared" ref="G114:G120" si="19">SUM(E114*F114)</f>
        <v>29424.780000000002</v>
      </c>
      <c r="H114" s="701"/>
      <c r="I114" s="697">
        <v>41103</v>
      </c>
      <c r="J114" s="699">
        <v>33.56</v>
      </c>
      <c r="K114" s="703">
        <f t="shared" ref="K114:K120" si="20">SUM(E114*J114)</f>
        <v>28425.320000000003</v>
      </c>
      <c r="L114" s="704">
        <f>SUM(K114-G114)</f>
        <v>-999.45999999999913</v>
      </c>
      <c r="M114" s="712">
        <v>1</v>
      </c>
      <c r="N114" s="813">
        <f>SUM(K114-G114)*M114</f>
        <v>-999.45999999999913</v>
      </c>
      <c r="O114" s="706"/>
    </row>
    <row r="115" spans="1:15" s="548" customFormat="1" ht="15" customHeight="1">
      <c r="A115" s="696" t="s">
        <v>586</v>
      </c>
      <c r="B115" s="613" t="s">
        <v>587</v>
      </c>
      <c r="C115" s="613" t="s">
        <v>78</v>
      </c>
      <c r="D115" s="707">
        <v>41072</v>
      </c>
      <c r="E115" s="696">
        <v>372</v>
      </c>
      <c r="F115" s="708">
        <v>51.03</v>
      </c>
      <c r="G115" s="709">
        <f t="shared" si="19"/>
        <v>18983.16</v>
      </c>
      <c r="H115" s="710"/>
      <c r="I115" s="707">
        <v>41108</v>
      </c>
      <c r="J115" s="708">
        <v>55.11</v>
      </c>
      <c r="K115" s="711">
        <f t="shared" si="20"/>
        <v>20500.919999999998</v>
      </c>
      <c r="L115" s="713">
        <f>SUM(G115-K115)</f>
        <v>-1517.7599999999984</v>
      </c>
      <c r="M115" s="712">
        <v>1</v>
      </c>
      <c r="N115" s="813">
        <f>SUM(G115-K115)*M115</f>
        <v>-1517.7599999999984</v>
      </c>
      <c r="O115" s="706"/>
    </row>
    <row r="116" spans="1:15" s="548" customFormat="1" ht="15" customHeight="1">
      <c r="A116" s="690" t="s">
        <v>588</v>
      </c>
      <c r="B116" s="614" t="s">
        <v>589</v>
      </c>
      <c r="C116" s="614" t="s">
        <v>53</v>
      </c>
      <c r="D116" s="697">
        <v>40945</v>
      </c>
      <c r="E116" s="698">
        <v>1020</v>
      </c>
      <c r="F116" s="699">
        <v>22.07</v>
      </c>
      <c r="G116" s="700">
        <f t="shared" si="19"/>
        <v>22511.4</v>
      </c>
      <c r="H116" s="701"/>
      <c r="I116" s="697">
        <v>41126</v>
      </c>
      <c r="J116" s="699">
        <v>23.82</v>
      </c>
      <c r="K116" s="703">
        <f t="shared" si="20"/>
        <v>24296.400000000001</v>
      </c>
      <c r="L116" s="704">
        <f>SUM(K116-G116)</f>
        <v>1785</v>
      </c>
      <c r="M116" s="712">
        <v>1</v>
      </c>
      <c r="N116" s="813">
        <f>SUM(K116-G116)*M116</f>
        <v>1785</v>
      </c>
      <c r="O116" s="706"/>
    </row>
    <row r="117" spans="1:15" s="548" customFormat="1" ht="15" customHeight="1">
      <c r="A117" s="696" t="s">
        <v>590</v>
      </c>
      <c r="B117" s="613" t="s">
        <v>591</v>
      </c>
      <c r="C117" s="613" t="s">
        <v>78</v>
      </c>
      <c r="D117" s="707">
        <v>41072</v>
      </c>
      <c r="E117" s="696">
        <v>724</v>
      </c>
      <c r="F117" s="708">
        <v>24.81</v>
      </c>
      <c r="G117" s="709">
        <f t="shared" si="19"/>
        <v>17962.439999999999</v>
      </c>
      <c r="H117" s="710"/>
      <c r="I117" s="707">
        <v>41128</v>
      </c>
      <c r="J117" s="708">
        <v>25.5</v>
      </c>
      <c r="K117" s="711">
        <f t="shared" si="20"/>
        <v>18462</v>
      </c>
      <c r="L117" s="713">
        <f>SUM(G117-K117)</f>
        <v>-499.56000000000131</v>
      </c>
      <c r="M117" s="712">
        <v>1</v>
      </c>
      <c r="N117" s="813">
        <f>SUM(G117-K117)*M117</f>
        <v>-499.56000000000131</v>
      </c>
      <c r="O117" s="706"/>
    </row>
    <row r="118" spans="1:15" s="548" customFormat="1" ht="15" customHeight="1">
      <c r="A118" s="698" t="s">
        <v>592</v>
      </c>
      <c r="B118" s="614" t="s">
        <v>593</v>
      </c>
      <c r="C118" s="614" t="s">
        <v>53</v>
      </c>
      <c r="D118" s="697">
        <v>41089</v>
      </c>
      <c r="E118" s="698">
        <v>824</v>
      </c>
      <c r="F118" s="699">
        <v>58.91</v>
      </c>
      <c r="G118" s="700">
        <f t="shared" si="19"/>
        <v>48541.84</v>
      </c>
      <c r="H118" s="701"/>
      <c r="I118" s="697">
        <v>41128</v>
      </c>
      <c r="J118" s="699">
        <v>58.95</v>
      </c>
      <c r="K118" s="703">
        <f t="shared" si="20"/>
        <v>48574.8</v>
      </c>
      <c r="L118" s="704">
        <f>SUM(K118-G118)</f>
        <v>32.960000000006403</v>
      </c>
      <c r="M118" s="712">
        <v>1</v>
      </c>
      <c r="N118" s="813">
        <f>SUM(K118-G118)*M118</f>
        <v>32.960000000006403</v>
      </c>
      <c r="O118" s="706"/>
    </row>
    <row r="119" spans="1:15" s="548" customFormat="1" ht="15" customHeight="1">
      <c r="A119" s="696" t="s">
        <v>295</v>
      </c>
      <c r="B119" s="613" t="s">
        <v>296</v>
      </c>
      <c r="C119" s="613" t="s">
        <v>78</v>
      </c>
      <c r="D119" s="707">
        <v>41043</v>
      </c>
      <c r="E119" s="696">
        <v>1785</v>
      </c>
      <c r="F119" s="708">
        <v>8.9700000000000006</v>
      </c>
      <c r="G119" s="709">
        <f t="shared" si="19"/>
        <v>16011.45</v>
      </c>
      <c r="H119" s="710"/>
      <c r="I119" s="707">
        <v>41129</v>
      </c>
      <c r="J119" s="708">
        <v>8.7850000000000001</v>
      </c>
      <c r="K119" s="711">
        <f t="shared" si="20"/>
        <v>15681.225</v>
      </c>
      <c r="L119" s="704">
        <f>SUM(G119-K119)</f>
        <v>330.22500000000036</v>
      </c>
      <c r="M119" s="712">
        <v>1</v>
      </c>
      <c r="N119" s="813">
        <f>SUM(G119-K119)*M119</f>
        <v>330.22500000000036</v>
      </c>
      <c r="O119" s="706"/>
    </row>
    <row r="120" spans="1:15" s="548" customFormat="1" ht="15" customHeight="1">
      <c r="A120" s="696" t="s">
        <v>594</v>
      </c>
      <c r="B120" s="613" t="s">
        <v>595</v>
      </c>
      <c r="C120" s="613" t="s">
        <v>78</v>
      </c>
      <c r="D120" s="707">
        <v>41113</v>
      </c>
      <c r="E120" s="696">
        <v>4545</v>
      </c>
      <c r="F120" s="708">
        <v>5.37</v>
      </c>
      <c r="G120" s="709">
        <f t="shared" si="19"/>
        <v>24406.65</v>
      </c>
      <c r="H120" s="710"/>
      <c r="I120" s="707">
        <v>41130</v>
      </c>
      <c r="J120" s="708">
        <v>5.4859999999999998</v>
      </c>
      <c r="K120" s="711">
        <f t="shared" si="20"/>
        <v>24933.87</v>
      </c>
      <c r="L120" s="713">
        <f>SUM(G120-K120)</f>
        <v>-527.21999999999753</v>
      </c>
      <c r="M120" s="712">
        <v>1</v>
      </c>
      <c r="N120" s="813">
        <f>SUM(G120-K120)*M120</f>
        <v>-527.21999999999753</v>
      </c>
      <c r="O120" s="706"/>
    </row>
    <row r="121" spans="1:15" s="548" customFormat="1" ht="15" customHeight="1">
      <c r="A121" s="716" t="s">
        <v>596</v>
      </c>
      <c r="B121" s="614" t="s">
        <v>597</v>
      </c>
      <c r="C121" s="614" t="s">
        <v>53</v>
      </c>
      <c r="D121" s="697">
        <v>41071</v>
      </c>
      <c r="E121" s="698">
        <v>467</v>
      </c>
      <c r="F121" s="699">
        <v>55.8</v>
      </c>
      <c r="G121" s="700">
        <f t="shared" ref="G121:G166" si="21">SUM(E121*F121)</f>
        <v>26058.6</v>
      </c>
      <c r="H121" s="701"/>
      <c r="I121" s="697">
        <v>41134</v>
      </c>
      <c r="J121" s="699">
        <v>58.01</v>
      </c>
      <c r="K121" s="703">
        <f t="shared" ref="K121:K166" si="22">SUM(E121*J121)</f>
        <v>27090.67</v>
      </c>
      <c r="L121" s="704">
        <f t="shared" ref="L121:L137" si="23">SUM(K121-G121)</f>
        <v>1032.0699999999997</v>
      </c>
      <c r="M121" s="712">
        <v>1</v>
      </c>
      <c r="N121" s="813">
        <f t="shared" ref="N121:N137" si="24">SUM(K121-G121)*M121</f>
        <v>1032.0699999999997</v>
      </c>
      <c r="O121" s="706"/>
    </row>
    <row r="122" spans="1:15" s="548" customFormat="1" ht="15" customHeight="1">
      <c r="A122" s="698" t="s">
        <v>598</v>
      </c>
      <c r="B122" s="614" t="s">
        <v>599</v>
      </c>
      <c r="C122" s="614" t="s">
        <v>53</v>
      </c>
      <c r="D122" s="697">
        <v>41071</v>
      </c>
      <c r="E122" s="698">
        <v>1219</v>
      </c>
      <c r="F122" s="699">
        <v>20.87</v>
      </c>
      <c r="G122" s="700">
        <f t="shared" si="21"/>
        <v>25440.530000000002</v>
      </c>
      <c r="H122" s="701"/>
      <c r="I122" s="697">
        <v>41135</v>
      </c>
      <c r="J122" s="699">
        <v>20.59</v>
      </c>
      <c r="K122" s="703">
        <f t="shared" si="22"/>
        <v>25099.21</v>
      </c>
      <c r="L122" s="704">
        <f t="shared" si="23"/>
        <v>-341.32000000000335</v>
      </c>
      <c r="M122" s="712">
        <v>1</v>
      </c>
      <c r="N122" s="813">
        <f t="shared" si="24"/>
        <v>-341.32000000000335</v>
      </c>
      <c r="O122" s="706"/>
    </row>
    <row r="123" spans="1:15" s="548" customFormat="1" ht="15" customHeight="1">
      <c r="A123" s="690" t="s">
        <v>600</v>
      </c>
      <c r="B123" s="614" t="s">
        <v>601</v>
      </c>
      <c r="C123" s="614" t="s">
        <v>53</v>
      </c>
      <c r="D123" s="697">
        <v>41064</v>
      </c>
      <c r="E123" s="698">
        <v>1785</v>
      </c>
      <c r="F123" s="699">
        <v>22.4</v>
      </c>
      <c r="G123" s="700">
        <f t="shared" si="21"/>
        <v>39984</v>
      </c>
      <c r="H123" s="701"/>
      <c r="I123" s="697">
        <v>41142</v>
      </c>
      <c r="J123" s="699">
        <v>23.15</v>
      </c>
      <c r="K123" s="703">
        <f t="shared" si="22"/>
        <v>41322.75</v>
      </c>
      <c r="L123" s="704">
        <f t="shared" si="23"/>
        <v>1338.75</v>
      </c>
      <c r="M123" s="712">
        <v>1</v>
      </c>
      <c r="N123" s="813">
        <f t="shared" si="24"/>
        <v>1338.75</v>
      </c>
      <c r="O123" s="706"/>
    </row>
    <row r="124" spans="1:15" s="548" customFormat="1" ht="15" customHeight="1">
      <c r="A124" s="690" t="s">
        <v>602</v>
      </c>
      <c r="B124" s="614" t="s">
        <v>603</v>
      </c>
      <c r="C124" s="614" t="s">
        <v>53</v>
      </c>
      <c r="D124" s="697">
        <v>40945</v>
      </c>
      <c r="E124" s="698">
        <v>439</v>
      </c>
      <c r="F124" s="699">
        <v>53.96</v>
      </c>
      <c r="G124" s="700">
        <f t="shared" si="21"/>
        <v>23688.44</v>
      </c>
      <c r="H124" s="701"/>
      <c r="I124" s="697">
        <v>41144</v>
      </c>
      <c r="J124" s="699">
        <v>58.87</v>
      </c>
      <c r="K124" s="703">
        <f t="shared" si="22"/>
        <v>25843.93</v>
      </c>
      <c r="L124" s="704">
        <f t="shared" si="23"/>
        <v>2155.4900000000016</v>
      </c>
      <c r="M124" s="712">
        <v>1</v>
      </c>
      <c r="N124" s="813">
        <f t="shared" si="24"/>
        <v>2155.4900000000016</v>
      </c>
      <c r="O124" s="706"/>
    </row>
    <row r="125" spans="1:15" s="548" customFormat="1" ht="15" customHeight="1">
      <c r="A125" s="690" t="s">
        <v>604</v>
      </c>
      <c r="B125" s="614" t="s">
        <v>605</v>
      </c>
      <c r="C125" s="614" t="s">
        <v>53</v>
      </c>
      <c r="D125" s="697">
        <v>41058</v>
      </c>
      <c r="E125" s="698">
        <v>746</v>
      </c>
      <c r="F125" s="699">
        <v>45.17</v>
      </c>
      <c r="G125" s="700">
        <f t="shared" si="21"/>
        <v>33696.82</v>
      </c>
      <c r="H125" s="701"/>
      <c r="I125" s="697">
        <v>41144</v>
      </c>
      <c r="J125" s="699">
        <v>43.63</v>
      </c>
      <c r="K125" s="703">
        <f t="shared" si="22"/>
        <v>32547.980000000003</v>
      </c>
      <c r="L125" s="704">
        <f t="shared" si="23"/>
        <v>-1148.8399999999965</v>
      </c>
      <c r="M125" s="712">
        <v>1</v>
      </c>
      <c r="N125" s="813">
        <f t="shared" si="24"/>
        <v>-1148.8399999999965</v>
      </c>
      <c r="O125" s="706"/>
    </row>
    <row r="126" spans="1:15" s="548" customFormat="1" ht="15" customHeight="1">
      <c r="A126" s="698" t="s">
        <v>606</v>
      </c>
      <c r="B126" s="614" t="s">
        <v>538</v>
      </c>
      <c r="C126" s="614" t="s">
        <v>53</v>
      </c>
      <c r="D126" s="697">
        <v>41142</v>
      </c>
      <c r="E126" s="698">
        <v>376</v>
      </c>
      <c r="F126" s="699">
        <v>93.57</v>
      </c>
      <c r="G126" s="700">
        <f t="shared" si="21"/>
        <v>35182.32</v>
      </c>
      <c r="H126" s="701"/>
      <c r="I126" s="697">
        <v>41151</v>
      </c>
      <c r="J126" s="699">
        <v>90.91</v>
      </c>
      <c r="K126" s="703">
        <f t="shared" si="22"/>
        <v>34182.159999999996</v>
      </c>
      <c r="L126" s="704">
        <f t="shared" si="23"/>
        <v>-1000.1600000000035</v>
      </c>
      <c r="M126" s="712">
        <v>1</v>
      </c>
      <c r="N126" s="813">
        <f t="shared" si="24"/>
        <v>-1000.1600000000035</v>
      </c>
      <c r="O126" s="706"/>
    </row>
    <row r="127" spans="1:15" s="548" customFormat="1" ht="15" customHeight="1">
      <c r="A127" s="698" t="s">
        <v>607</v>
      </c>
      <c r="B127" s="614" t="s">
        <v>608</v>
      </c>
      <c r="C127" s="614" t="s">
        <v>53</v>
      </c>
      <c r="D127" s="697">
        <v>41089</v>
      </c>
      <c r="E127" s="698">
        <v>824</v>
      </c>
      <c r="F127" s="699">
        <v>64.03</v>
      </c>
      <c r="G127" s="700">
        <f t="shared" si="21"/>
        <v>52760.72</v>
      </c>
      <c r="H127" s="701"/>
      <c r="I127" s="697">
        <v>41156</v>
      </c>
      <c r="J127" s="699">
        <v>64.819999999999993</v>
      </c>
      <c r="K127" s="703">
        <f t="shared" si="22"/>
        <v>53411.679999999993</v>
      </c>
      <c r="L127" s="704">
        <f t="shared" si="23"/>
        <v>650.95999999999185</v>
      </c>
      <c r="M127" s="712">
        <v>1</v>
      </c>
      <c r="N127" s="813">
        <f t="shared" si="24"/>
        <v>650.95999999999185</v>
      </c>
      <c r="O127" s="706"/>
    </row>
    <row r="128" spans="1:15" s="548" customFormat="1" ht="15" customHeight="1">
      <c r="A128" s="698" t="s">
        <v>609</v>
      </c>
      <c r="B128" s="614" t="s">
        <v>610</v>
      </c>
      <c r="C128" s="614" t="s">
        <v>53</v>
      </c>
      <c r="D128" s="697">
        <v>41071</v>
      </c>
      <c r="E128" s="698">
        <v>431</v>
      </c>
      <c r="F128" s="699">
        <v>61.53</v>
      </c>
      <c r="G128" s="700">
        <f t="shared" si="21"/>
        <v>26519.43</v>
      </c>
      <c r="H128" s="701"/>
      <c r="I128" s="697">
        <v>41170</v>
      </c>
      <c r="J128" s="699">
        <v>62.95</v>
      </c>
      <c r="K128" s="703">
        <f t="shared" si="22"/>
        <v>27131.45</v>
      </c>
      <c r="L128" s="704">
        <f t="shared" si="23"/>
        <v>612.02000000000044</v>
      </c>
      <c r="M128" s="712">
        <v>1</v>
      </c>
      <c r="N128" s="813">
        <f t="shared" si="24"/>
        <v>612.02000000000044</v>
      </c>
      <c r="O128" s="706"/>
    </row>
    <row r="129" spans="1:15" s="548" customFormat="1" ht="15" customHeight="1">
      <c r="A129" s="698" t="s">
        <v>611</v>
      </c>
      <c r="B129" s="614" t="s">
        <v>221</v>
      </c>
      <c r="C129" s="614" t="s">
        <v>53</v>
      </c>
      <c r="D129" s="697">
        <v>41165</v>
      </c>
      <c r="E129" s="698">
        <v>179</v>
      </c>
      <c r="F129" s="699">
        <v>93</v>
      </c>
      <c r="G129" s="700">
        <f t="shared" si="21"/>
        <v>16647</v>
      </c>
      <c r="H129" s="701"/>
      <c r="I129" s="697">
        <v>41176</v>
      </c>
      <c r="J129" s="699">
        <v>87</v>
      </c>
      <c r="K129" s="703">
        <f t="shared" si="22"/>
        <v>15573</v>
      </c>
      <c r="L129" s="704">
        <f t="shared" si="23"/>
        <v>-1074</v>
      </c>
      <c r="M129" s="712">
        <v>1</v>
      </c>
      <c r="N129" s="813">
        <f t="shared" si="24"/>
        <v>-1074</v>
      </c>
      <c r="O129" s="706"/>
    </row>
    <row r="130" spans="1:15" s="548" customFormat="1" ht="15" customHeight="1">
      <c r="A130" s="698" t="s">
        <v>612</v>
      </c>
      <c r="B130" s="614" t="s">
        <v>613</v>
      </c>
      <c r="C130" s="614" t="s">
        <v>53</v>
      </c>
      <c r="D130" s="697">
        <v>41165</v>
      </c>
      <c r="E130" s="698">
        <v>562</v>
      </c>
      <c r="F130" s="699">
        <v>28.45</v>
      </c>
      <c r="G130" s="700">
        <f t="shared" si="21"/>
        <v>15988.9</v>
      </c>
      <c r="H130" s="701"/>
      <c r="I130" s="697">
        <v>41177</v>
      </c>
      <c r="J130" s="699">
        <v>27.47</v>
      </c>
      <c r="K130" s="703">
        <f t="shared" si="22"/>
        <v>15438.14</v>
      </c>
      <c r="L130" s="704">
        <f t="shared" si="23"/>
        <v>-550.76000000000022</v>
      </c>
      <c r="M130" s="712">
        <v>1</v>
      </c>
      <c r="N130" s="813">
        <f t="shared" si="24"/>
        <v>-550.76000000000022</v>
      </c>
      <c r="O130" s="706"/>
    </row>
    <row r="131" spans="1:15" s="548" customFormat="1" ht="15" customHeight="1">
      <c r="A131" s="698" t="s">
        <v>614</v>
      </c>
      <c r="B131" s="614" t="s">
        <v>615</v>
      </c>
      <c r="C131" s="614" t="s">
        <v>53</v>
      </c>
      <c r="D131" s="697">
        <v>41166</v>
      </c>
      <c r="E131" s="698">
        <v>270</v>
      </c>
      <c r="F131" s="699">
        <v>115.67</v>
      </c>
      <c r="G131" s="700">
        <f t="shared" si="21"/>
        <v>31230.9</v>
      </c>
      <c r="H131" s="701"/>
      <c r="I131" s="697">
        <v>41177</v>
      </c>
      <c r="J131" s="699">
        <v>111.99</v>
      </c>
      <c r="K131" s="703">
        <f t="shared" si="22"/>
        <v>30237.3</v>
      </c>
      <c r="L131" s="704">
        <f t="shared" si="23"/>
        <v>-993.60000000000218</v>
      </c>
      <c r="M131" s="712">
        <v>1</v>
      </c>
      <c r="N131" s="813">
        <f t="shared" si="24"/>
        <v>-993.60000000000218</v>
      </c>
      <c r="O131" s="706"/>
    </row>
    <row r="132" spans="1:15" s="548" customFormat="1" ht="15" customHeight="1">
      <c r="A132" s="698" t="s">
        <v>616</v>
      </c>
      <c r="B132" s="614" t="s">
        <v>617</v>
      </c>
      <c r="C132" s="614" t="s">
        <v>53</v>
      </c>
      <c r="D132" s="697">
        <v>41159</v>
      </c>
      <c r="E132" s="698">
        <v>263</v>
      </c>
      <c r="F132" s="699">
        <v>81.23</v>
      </c>
      <c r="G132" s="700">
        <f t="shared" si="21"/>
        <v>21363.49</v>
      </c>
      <c r="H132" s="701"/>
      <c r="I132" s="697">
        <v>41178</v>
      </c>
      <c r="J132" s="699">
        <v>78.42</v>
      </c>
      <c r="K132" s="703">
        <f t="shared" si="22"/>
        <v>20624.46</v>
      </c>
      <c r="L132" s="704">
        <f t="shared" si="23"/>
        <v>-739.03000000000247</v>
      </c>
      <c r="M132" s="712">
        <v>1</v>
      </c>
      <c r="N132" s="813">
        <f t="shared" si="24"/>
        <v>-739.03000000000247</v>
      </c>
      <c r="O132" s="706"/>
    </row>
    <row r="133" spans="1:15" s="548" customFormat="1" ht="15" customHeight="1">
      <c r="A133" s="698" t="s">
        <v>295</v>
      </c>
      <c r="B133" s="614" t="s">
        <v>296</v>
      </c>
      <c r="C133" s="614" t="s">
        <v>53</v>
      </c>
      <c r="D133" s="697">
        <v>41163</v>
      </c>
      <c r="E133" s="698">
        <v>1785</v>
      </c>
      <c r="F133" s="699">
        <v>9.34</v>
      </c>
      <c r="G133" s="700">
        <f t="shared" si="21"/>
        <v>16671.900000000001</v>
      </c>
      <c r="H133" s="701"/>
      <c r="I133" s="697">
        <v>41178</v>
      </c>
      <c r="J133" s="699">
        <v>8.7799999999999994</v>
      </c>
      <c r="K133" s="703">
        <f t="shared" si="22"/>
        <v>15672.3</v>
      </c>
      <c r="L133" s="704">
        <f t="shared" si="23"/>
        <v>-999.60000000000218</v>
      </c>
      <c r="M133" s="712">
        <v>1</v>
      </c>
      <c r="N133" s="813">
        <f t="shared" si="24"/>
        <v>-999.60000000000218</v>
      </c>
      <c r="O133" s="706"/>
    </row>
    <row r="134" spans="1:15" s="548" customFormat="1" ht="15" customHeight="1">
      <c r="A134" s="698" t="s">
        <v>618</v>
      </c>
      <c r="B134" s="614" t="s">
        <v>619</v>
      </c>
      <c r="C134" s="614" t="s">
        <v>53</v>
      </c>
      <c r="D134" s="697">
        <v>41165</v>
      </c>
      <c r="E134" s="698">
        <v>370</v>
      </c>
      <c r="F134" s="699">
        <v>34.47</v>
      </c>
      <c r="G134" s="700">
        <f t="shared" si="21"/>
        <v>12753.9</v>
      </c>
      <c r="H134" s="701"/>
      <c r="I134" s="697">
        <v>41178</v>
      </c>
      <c r="J134" s="699">
        <v>31.77</v>
      </c>
      <c r="K134" s="703">
        <f t="shared" si="22"/>
        <v>11754.9</v>
      </c>
      <c r="L134" s="704">
        <f t="shared" si="23"/>
        <v>-999</v>
      </c>
      <c r="M134" s="712">
        <v>1</v>
      </c>
      <c r="N134" s="813">
        <f t="shared" si="24"/>
        <v>-999</v>
      </c>
      <c r="O134" s="706"/>
    </row>
    <row r="135" spans="1:15" s="548" customFormat="1" ht="15" customHeight="1">
      <c r="A135" s="698" t="s">
        <v>620</v>
      </c>
      <c r="B135" s="614" t="s">
        <v>498</v>
      </c>
      <c r="C135" s="614" t="s">
        <v>53</v>
      </c>
      <c r="D135" s="697">
        <v>41166</v>
      </c>
      <c r="E135" s="698">
        <v>556</v>
      </c>
      <c r="F135" s="699">
        <v>52.9</v>
      </c>
      <c r="G135" s="700">
        <f t="shared" si="21"/>
        <v>29412.399999999998</v>
      </c>
      <c r="H135" s="701"/>
      <c r="I135" s="697">
        <v>41178</v>
      </c>
      <c r="J135" s="699">
        <v>51.1</v>
      </c>
      <c r="K135" s="703">
        <f t="shared" si="22"/>
        <v>28411.600000000002</v>
      </c>
      <c r="L135" s="704">
        <f t="shared" si="23"/>
        <v>-1000.7999999999956</v>
      </c>
      <c r="M135" s="712">
        <v>1</v>
      </c>
      <c r="N135" s="813">
        <f t="shared" si="24"/>
        <v>-1000.7999999999956</v>
      </c>
      <c r="O135" s="706"/>
    </row>
    <row r="136" spans="1:15" s="548" customFormat="1" ht="15" customHeight="1">
      <c r="A136" s="698" t="s">
        <v>507</v>
      </c>
      <c r="B136" s="614" t="s">
        <v>508</v>
      </c>
      <c r="C136" s="614" t="s">
        <v>53</v>
      </c>
      <c r="D136" s="697">
        <v>41158</v>
      </c>
      <c r="E136" s="698">
        <v>408</v>
      </c>
      <c r="F136" s="699">
        <v>57.74</v>
      </c>
      <c r="G136" s="700">
        <f t="shared" si="21"/>
        <v>23557.920000000002</v>
      </c>
      <c r="H136" s="701"/>
      <c r="I136" s="697">
        <v>41183</v>
      </c>
      <c r="J136" s="699">
        <v>55.45</v>
      </c>
      <c r="K136" s="703">
        <f t="shared" si="22"/>
        <v>22623.600000000002</v>
      </c>
      <c r="L136" s="704">
        <f t="shared" si="23"/>
        <v>-934.31999999999971</v>
      </c>
      <c r="M136" s="712">
        <v>1</v>
      </c>
      <c r="N136" s="813">
        <f t="shared" si="24"/>
        <v>-934.31999999999971</v>
      </c>
      <c r="O136" s="706"/>
    </row>
    <row r="137" spans="1:15" s="548" customFormat="1" ht="15" customHeight="1">
      <c r="A137" s="698" t="s">
        <v>621</v>
      </c>
      <c r="B137" s="614" t="s">
        <v>622</v>
      </c>
      <c r="C137" s="614" t="s">
        <v>53</v>
      </c>
      <c r="D137" s="697">
        <v>41171</v>
      </c>
      <c r="E137" s="698">
        <v>270</v>
      </c>
      <c r="F137" s="699">
        <v>91.53</v>
      </c>
      <c r="G137" s="700">
        <f t="shared" si="21"/>
        <v>24713.1</v>
      </c>
      <c r="H137" s="701"/>
      <c r="I137" s="697">
        <v>41185</v>
      </c>
      <c r="J137" s="699">
        <v>87.93</v>
      </c>
      <c r="K137" s="703">
        <f t="shared" si="22"/>
        <v>23741.100000000002</v>
      </c>
      <c r="L137" s="704">
        <f t="shared" si="23"/>
        <v>-971.99999999999636</v>
      </c>
      <c r="M137" s="712">
        <v>1</v>
      </c>
      <c r="N137" s="813">
        <f t="shared" si="24"/>
        <v>-971.99999999999636</v>
      </c>
      <c r="O137" s="706"/>
    </row>
    <row r="138" spans="1:15" s="548" customFormat="1" ht="15" customHeight="1">
      <c r="A138" s="696" t="s">
        <v>600</v>
      </c>
      <c r="B138" s="613" t="s">
        <v>601</v>
      </c>
      <c r="C138" s="613" t="s">
        <v>78</v>
      </c>
      <c r="D138" s="707">
        <v>41170</v>
      </c>
      <c r="E138" s="696">
        <v>463</v>
      </c>
      <c r="F138" s="708">
        <v>63.44</v>
      </c>
      <c r="G138" s="709">
        <f>SUM(E138*F138)</f>
        <v>29372.719999999998</v>
      </c>
      <c r="H138" s="710"/>
      <c r="I138" s="707">
        <v>41187</v>
      </c>
      <c r="J138" s="708">
        <v>65.599999999999994</v>
      </c>
      <c r="K138" s="711">
        <f>SUM(E138*J138)</f>
        <v>30372.799999999996</v>
      </c>
      <c r="L138" s="713">
        <f>SUM(G138-K138)</f>
        <v>-1000.0799999999981</v>
      </c>
      <c r="M138" s="712">
        <v>1</v>
      </c>
      <c r="N138" s="813">
        <f>SUM(G138-K138)*M138</f>
        <v>-1000.0799999999981</v>
      </c>
      <c r="O138" s="706"/>
    </row>
    <row r="139" spans="1:15" s="548" customFormat="1" ht="15" customHeight="1">
      <c r="A139" s="698" t="s">
        <v>623</v>
      </c>
      <c r="B139" s="614" t="s">
        <v>624</v>
      </c>
      <c r="C139" s="614" t="s">
        <v>53</v>
      </c>
      <c r="D139" s="697">
        <v>41166</v>
      </c>
      <c r="E139" s="698">
        <v>340</v>
      </c>
      <c r="F139" s="699">
        <v>59.64</v>
      </c>
      <c r="G139" s="700">
        <f t="shared" si="21"/>
        <v>20277.599999999999</v>
      </c>
      <c r="H139" s="701"/>
      <c r="I139" s="697">
        <v>41190</v>
      </c>
      <c r="J139" s="699">
        <v>57.19</v>
      </c>
      <c r="K139" s="703">
        <f t="shared" si="22"/>
        <v>19444.599999999999</v>
      </c>
      <c r="L139" s="704">
        <f>SUM(K139-G139)</f>
        <v>-833</v>
      </c>
      <c r="M139" s="712">
        <v>1</v>
      </c>
      <c r="N139" s="813">
        <f>SUM(K139-G139)*M139</f>
        <v>-833</v>
      </c>
      <c r="O139" s="706"/>
    </row>
    <row r="140" spans="1:15" s="548" customFormat="1" ht="15" customHeight="1">
      <c r="A140" s="698" t="s">
        <v>625</v>
      </c>
      <c r="B140" s="614" t="s">
        <v>626</v>
      </c>
      <c r="C140" s="614" t="s">
        <v>53</v>
      </c>
      <c r="D140" s="697">
        <v>41166</v>
      </c>
      <c r="E140" s="698">
        <v>667</v>
      </c>
      <c r="F140" s="699">
        <v>23.25</v>
      </c>
      <c r="G140" s="700">
        <f t="shared" si="21"/>
        <v>15507.75</v>
      </c>
      <c r="H140" s="701"/>
      <c r="I140" s="697">
        <v>41192</v>
      </c>
      <c r="J140" s="699">
        <v>21.77</v>
      </c>
      <c r="K140" s="703">
        <f t="shared" si="22"/>
        <v>14520.59</v>
      </c>
      <c r="L140" s="704">
        <f>SUM(K140-G140)</f>
        <v>-987.15999999999985</v>
      </c>
      <c r="M140" s="712">
        <v>1</v>
      </c>
      <c r="N140" s="813">
        <f>SUM(K140-G140)*M140</f>
        <v>-987.15999999999985</v>
      </c>
      <c r="O140" s="706"/>
    </row>
    <row r="141" spans="1:15" s="548" customFormat="1" ht="15" customHeight="1">
      <c r="A141" s="698" t="s">
        <v>495</v>
      </c>
      <c r="B141" s="614" t="s">
        <v>496</v>
      </c>
      <c r="C141" s="614" t="s">
        <v>53</v>
      </c>
      <c r="D141" s="697">
        <v>41162</v>
      </c>
      <c r="E141" s="698">
        <v>302</v>
      </c>
      <c r="F141" s="699">
        <v>114.27</v>
      </c>
      <c r="G141" s="700">
        <f t="shared" si="21"/>
        <v>34509.54</v>
      </c>
      <c r="H141" s="701"/>
      <c r="I141" s="697">
        <v>41192</v>
      </c>
      <c r="J141" s="699">
        <v>113.4</v>
      </c>
      <c r="K141" s="703">
        <f t="shared" si="22"/>
        <v>34246.800000000003</v>
      </c>
      <c r="L141" s="704">
        <f>SUM(K141-G141)</f>
        <v>-262.73999999999796</v>
      </c>
      <c r="M141" s="712">
        <v>1</v>
      </c>
      <c r="N141" s="813">
        <f>SUM(K141-G141)*M141</f>
        <v>-262.73999999999796</v>
      </c>
      <c r="O141" s="706"/>
    </row>
    <row r="142" spans="1:15" s="548" customFormat="1" ht="15" customHeight="1">
      <c r="A142" s="696" t="s">
        <v>627</v>
      </c>
      <c r="B142" s="613" t="s">
        <v>571</v>
      </c>
      <c r="C142" s="613" t="s">
        <v>78</v>
      </c>
      <c r="D142" s="707">
        <v>41162</v>
      </c>
      <c r="E142" s="696">
        <v>967</v>
      </c>
      <c r="F142" s="708">
        <v>36.9</v>
      </c>
      <c r="G142" s="709">
        <f>SUM(E142*F142)</f>
        <v>35682.299999999996</v>
      </c>
      <c r="H142" s="710"/>
      <c r="I142" s="707">
        <v>40463</v>
      </c>
      <c r="J142" s="708">
        <v>35.64</v>
      </c>
      <c r="K142" s="711">
        <f>SUM(E142*J142)</f>
        <v>34463.879999999997</v>
      </c>
      <c r="L142" s="704">
        <f>SUM(G142-K142)</f>
        <v>1218.4199999999983</v>
      </c>
      <c r="M142" s="712">
        <v>1</v>
      </c>
      <c r="N142" s="813">
        <f>SUM(G142-K142)*M142</f>
        <v>1218.4199999999983</v>
      </c>
      <c r="O142" s="706"/>
    </row>
    <row r="143" spans="1:15" s="548" customFormat="1" ht="15" customHeight="1">
      <c r="A143" s="698" t="s">
        <v>482</v>
      </c>
      <c r="B143" s="614" t="s">
        <v>483</v>
      </c>
      <c r="C143" s="614" t="s">
        <v>53</v>
      </c>
      <c r="D143" s="697">
        <v>41165</v>
      </c>
      <c r="E143" s="698">
        <v>714</v>
      </c>
      <c r="F143" s="699">
        <v>35.5</v>
      </c>
      <c r="G143" s="700">
        <f t="shared" si="21"/>
        <v>25347</v>
      </c>
      <c r="H143" s="701"/>
      <c r="I143" s="697">
        <v>41194</v>
      </c>
      <c r="J143" s="699">
        <v>34.1</v>
      </c>
      <c r="K143" s="703">
        <f t="shared" si="22"/>
        <v>24347.4</v>
      </c>
      <c r="L143" s="704">
        <f t="shared" ref="L143:L162" si="25">SUM(K143-G143)</f>
        <v>-999.59999999999854</v>
      </c>
      <c r="M143" s="712">
        <v>1</v>
      </c>
      <c r="N143" s="813">
        <f t="shared" ref="N143:N165" si="26">SUM(K143-G143)*M143</f>
        <v>-999.59999999999854</v>
      </c>
      <c r="O143" s="706"/>
    </row>
    <row r="144" spans="1:15" s="548" customFormat="1" ht="15" customHeight="1">
      <c r="A144" s="698" t="s">
        <v>523</v>
      </c>
      <c r="B144" s="614" t="s">
        <v>524</v>
      </c>
      <c r="C144" s="614" t="s">
        <v>53</v>
      </c>
      <c r="D144" s="697">
        <v>41165</v>
      </c>
      <c r="E144" s="698">
        <v>769</v>
      </c>
      <c r="F144" s="699">
        <v>33.39</v>
      </c>
      <c r="G144" s="700">
        <f t="shared" si="21"/>
        <v>25676.91</v>
      </c>
      <c r="H144" s="701"/>
      <c r="I144" s="697">
        <v>41198</v>
      </c>
      <c r="J144" s="699">
        <v>32.090000000000003</v>
      </c>
      <c r="K144" s="703">
        <f t="shared" si="22"/>
        <v>24677.210000000003</v>
      </c>
      <c r="L144" s="704">
        <f t="shared" si="25"/>
        <v>-999.69999999999709</v>
      </c>
      <c r="M144" s="712">
        <v>1</v>
      </c>
      <c r="N144" s="813">
        <f t="shared" si="26"/>
        <v>-999.69999999999709</v>
      </c>
      <c r="O144" s="706"/>
    </row>
    <row r="145" spans="1:15" s="548" customFormat="1" ht="15" customHeight="1">
      <c r="A145" s="698" t="s">
        <v>628</v>
      </c>
      <c r="B145" s="614" t="s">
        <v>629</v>
      </c>
      <c r="C145" s="614" t="s">
        <v>53</v>
      </c>
      <c r="D145" s="697">
        <v>41180</v>
      </c>
      <c r="E145" s="698">
        <v>94</v>
      </c>
      <c r="F145" s="699">
        <v>216.71</v>
      </c>
      <c r="G145" s="700">
        <f t="shared" si="21"/>
        <v>20370.740000000002</v>
      </c>
      <c r="H145" s="701"/>
      <c r="I145" s="697">
        <v>41198</v>
      </c>
      <c r="J145" s="699">
        <v>206.08</v>
      </c>
      <c r="K145" s="703">
        <f t="shared" si="22"/>
        <v>19371.52</v>
      </c>
      <c r="L145" s="704">
        <f t="shared" si="25"/>
        <v>-999.22000000000116</v>
      </c>
      <c r="M145" s="712">
        <v>1</v>
      </c>
      <c r="N145" s="813">
        <f t="shared" si="26"/>
        <v>-999.22000000000116</v>
      </c>
      <c r="O145" s="706"/>
    </row>
    <row r="146" spans="1:15" s="548" customFormat="1" ht="15" customHeight="1">
      <c r="A146" s="698" t="s">
        <v>630</v>
      </c>
      <c r="B146" s="614" t="s">
        <v>542</v>
      </c>
      <c r="C146" s="614" t="s">
        <v>53</v>
      </c>
      <c r="D146" s="697">
        <v>41180</v>
      </c>
      <c r="E146" s="698">
        <v>909</v>
      </c>
      <c r="F146" s="699">
        <v>35.200000000000003</v>
      </c>
      <c r="G146" s="700">
        <f t="shared" si="21"/>
        <v>31996.800000000003</v>
      </c>
      <c r="H146" s="701"/>
      <c r="I146" s="697">
        <v>41204</v>
      </c>
      <c r="J146" s="699">
        <v>34.159999999999997</v>
      </c>
      <c r="K146" s="703">
        <f t="shared" si="22"/>
        <v>31051.439999999999</v>
      </c>
      <c r="L146" s="704">
        <f t="shared" si="25"/>
        <v>-945.36000000000422</v>
      </c>
      <c r="M146" s="712">
        <v>1</v>
      </c>
      <c r="N146" s="813">
        <f t="shared" si="26"/>
        <v>-945.36000000000422</v>
      </c>
      <c r="O146" s="706"/>
    </row>
    <row r="147" spans="1:15" s="548" customFormat="1" ht="15" customHeight="1">
      <c r="A147" s="698" t="s">
        <v>631</v>
      </c>
      <c r="B147" s="614" t="s">
        <v>632</v>
      </c>
      <c r="C147" s="614" t="s">
        <v>53</v>
      </c>
      <c r="D147" s="697">
        <v>41165</v>
      </c>
      <c r="E147" s="698">
        <v>575</v>
      </c>
      <c r="F147" s="699">
        <v>68.72</v>
      </c>
      <c r="G147" s="700">
        <f t="shared" si="21"/>
        <v>39514</v>
      </c>
      <c r="H147" s="701"/>
      <c r="I147" s="697">
        <v>41205</v>
      </c>
      <c r="J147" s="699">
        <v>67.790000000000006</v>
      </c>
      <c r="K147" s="703">
        <f t="shared" si="22"/>
        <v>38979.25</v>
      </c>
      <c r="L147" s="704">
        <f t="shared" si="25"/>
        <v>-534.75</v>
      </c>
      <c r="M147" s="712">
        <v>1</v>
      </c>
      <c r="N147" s="813">
        <f t="shared" si="26"/>
        <v>-534.75</v>
      </c>
      <c r="O147" s="706"/>
    </row>
    <row r="148" spans="1:15" s="548" customFormat="1" ht="15" customHeight="1">
      <c r="A148" s="698" t="s">
        <v>633</v>
      </c>
      <c r="B148" s="614" t="s">
        <v>634</v>
      </c>
      <c r="C148" s="614" t="s">
        <v>53</v>
      </c>
      <c r="D148" s="697">
        <v>41165</v>
      </c>
      <c r="E148" s="698">
        <v>394</v>
      </c>
      <c r="F148" s="699">
        <v>59.64</v>
      </c>
      <c r="G148" s="700">
        <f t="shared" si="21"/>
        <v>23498.16</v>
      </c>
      <c r="H148" s="701"/>
      <c r="I148" s="697">
        <v>41204</v>
      </c>
      <c r="J148" s="699">
        <v>57.61</v>
      </c>
      <c r="K148" s="703">
        <f t="shared" si="22"/>
        <v>22698.34</v>
      </c>
      <c r="L148" s="704">
        <f t="shared" si="25"/>
        <v>-799.81999999999971</v>
      </c>
      <c r="M148" s="712">
        <v>1</v>
      </c>
      <c r="N148" s="813">
        <f t="shared" si="26"/>
        <v>-799.81999999999971</v>
      </c>
      <c r="O148" s="706"/>
    </row>
    <row r="149" spans="1:15" s="548" customFormat="1" ht="15" customHeight="1">
      <c r="A149" s="698" t="s">
        <v>499</v>
      </c>
      <c r="B149" s="614" t="s">
        <v>500</v>
      </c>
      <c r="C149" s="614" t="s">
        <v>53</v>
      </c>
      <c r="D149" s="697">
        <v>41165</v>
      </c>
      <c r="E149" s="698">
        <v>143</v>
      </c>
      <c r="F149" s="699">
        <v>157.69999999999999</v>
      </c>
      <c r="G149" s="700">
        <f t="shared" si="21"/>
        <v>22551.1</v>
      </c>
      <c r="H149" s="701"/>
      <c r="I149" s="697">
        <v>41205</v>
      </c>
      <c r="J149" s="699">
        <v>153.59</v>
      </c>
      <c r="K149" s="703">
        <f t="shared" si="22"/>
        <v>21963.37</v>
      </c>
      <c r="L149" s="704">
        <f t="shared" si="25"/>
        <v>-587.72999999999956</v>
      </c>
      <c r="M149" s="712">
        <v>1</v>
      </c>
      <c r="N149" s="813">
        <f t="shared" si="26"/>
        <v>-587.72999999999956</v>
      </c>
      <c r="O149" s="706"/>
    </row>
    <row r="150" spans="1:15" s="548" customFormat="1" ht="15" customHeight="1">
      <c r="A150" s="698" t="s">
        <v>635</v>
      </c>
      <c r="B150" s="614" t="s">
        <v>377</v>
      </c>
      <c r="C150" s="614" t="s">
        <v>53</v>
      </c>
      <c r="D150" s="697">
        <v>41162</v>
      </c>
      <c r="E150" s="698">
        <v>1208</v>
      </c>
      <c r="F150" s="699">
        <v>7.4</v>
      </c>
      <c r="G150" s="700">
        <f t="shared" si="21"/>
        <v>8939.2000000000007</v>
      </c>
      <c r="H150" s="701"/>
      <c r="I150" s="697">
        <v>41205</v>
      </c>
      <c r="J150" s="699">
        <v>6.57</v>
      </c>
      <c r="K150" s="703">
        <f t="shared" si="22"/>
        <v>7936.56</v>
      </c>
      <c r="L150" s="704">
        <f t="shared" si="25"/>
        <v>-1002.6400000000003</v>
      </c>
      <c r="M150" s="712">
        <v>1</v>
      </c>
      <c r="N150" s="813">
        <f t="shared" si="26"/>
        <v>-1002.6400000000003</v>
      </c>
      <c r="O150" s="706"/>
    </row>
    <row r="151" spans="1:15" s="548" customFormat="1" ht="15" customHeight="1">
      <c r="A151" s="698" t="s">
        <v>636</v>
      </c>
      <c r="B151" s="614" t="s">
        <v>637</v>
      </c>
      <c r="C151" s="614" t="s">
        <v>53</v>
      </c>
      <c r="D151" s="697">
        <v>41181</v>
      </c>
      <c r="E151" s="698">
        <v>1111</v>
      </c>
      <c r="F151" s="699">
        <v>31.23</v>
      </c>
      <c r="G151" s="700">
        <f t="shared" si="21"/>
        <v>34696.53</v>
      </c>
      <c r="H151" s="701"/>
      <c r="I151" s="697">
        <v>41205</v>
      </c>
      <c r="J151" s="699">
        <v>30.54</v>
      </c>
      <c r="K151" s="703">
        <f t="shared" si="22"/>
        <v>33929.94</v>
      </c>
      <c r="L151" s="704">
        <f t="shared" si="25"/>
        <v>-766.58999999999651</v>
      </c>
      <c r="M151" s="712">
        <v>1</v>
      </c>
      <c r="N151" s="813">
        <f t="shared" si="26"/>
        <v>-766.58999999999651</v>
      </c>
      <c r="O151" s="706"/>
    </row>
    <row r="152" spans="1:15" s="548" customFormat="1" ht="15" customHeight="1">
      <c r="A152" s="698" t="s">
        <v>527</v>
      </c>
      <c r="B152" s="614" t="s">
        <v>528</v>
      </c>
      <c r="C152" s="614" t="s">
        <v>53</v>
      </c>
      <c r="D152" s="697">
        <v>41158</v>
      </c>
      <c r="E152" s="698">
        <v>444</v>
      </c>
      <c r="F152" s="699">
        <v>63.33</v>
      </c>
      <c r="G152" s="700">
        <f t="shared" si="21"/>
        <v>28118.52</v>
      </c>
      <c r="H152" s="701"/>
      <c r="I152" s="697">
        <v>41207</v>
      </c>
      <c r="J152" s="699">
        <v>66.42</v>
      </c>
      <c r="K152" s="703">
        <f t="shared" si="22"/>
        <v>29490.48</v>
      </c>
      <c r="L152" s="704">
        <f t="shared" si="25"/>
        <v>1371.9599999999991</v>
      </c>
      <c r="M152" s="712">
        <v>1</v>
      </c>
      <c r="N152" s="813">
        <f t="shared" si="26"/>
        <v>1371.9599999999991</v>
      </c>
      <c r="O152" s="706"/>
    </row>
    <row r="153" spans="1:15" s="548" customFormat="1" ht="15" customHeight="1">
      <c r="A153" s="698" t="s">
        <v>638</v>
      </c>
      <c r="B153" s="614" t="s">
        <v>639</v>
      </c>
      <c r="C153" s="614" t="s">
        <v>53</v>
      </c>
      <c r="D153" s="697">
        <v>41165</v>
      </c>
      <c r="E153" s="698">
        <v>417</v>
      </c>
      <c r="F153" s="699">
        <v>31.12</v>
      </c>
      <c r="G153" s="700">
        <f t="shared" si="21"/>
        <v>12977.04</v>
      </c>
      <c r="H153" s="701"/>
      <c r="I153" s="697">
        <v>41207</v>
      </c>
      <c r="J153" s="699">
        <v>30.64</v>
      </c>
      <c r="K153" s="703">
        <f t="shared" si="22"/>
        <v>12776.880000000001</v>
      </c>
      <c r="L153" s="704">
        <f t="shared" si="25"/>
        <v>-200.15999999999985</v>
      </c>
      <c r="M153" s="712">
        <v>1</v>
      </c>
      <c r="N153" s="813">
        <f t="shared" si="26"/>
        <v>-200.15999999999985</v>
      </c>
      <c r="O153" s="706"/>
    </row>
    <row r="154" spans="1:15" s="548" customFormat="1" ht="15" customHeight="1">
      <c r="A154" s="698" t="s">
        <v>640</v>
      </c>
      <c r="B154" s="614" t="s">
        <v>641</v>
      </c>
      <c r="C154" s="614" t="s">
        <v>53</v>
      </c>
      <c r="D154" s="697">
        <v>41180</v>
      </c>
      <c r="E154" s="698">
        <v>278</v>
      </c>
      <c r="F154" s="699">
        <v>74.53</v>
      </c>
      <c r="G154" s="700">
        <f t="shared" si="21"/>
        <v>20719.34</v>
      </c>
      <c r="H154" s="701"/>
      <c r="I154" s="697">
        <v>41207</v>
      </c>
      <c r="J154" s="699">
        <v>72.77</v>
      </c>
      <c r="K154" s="703">
        <f t="shared" si="22"/>
        <v>20230.059999999998</v>
      </c>
      <c r="L154" s="704">
        <f t="shared" si="25"/>
        <v>-489.28000000000247</v>
      </c>
      <c r="M154" s="712">
        <v>1</v>
      </c>
      <c r="N154" s="813">
        <f t="shared" si="26"/>
        <v>-489.28000000000247</v>
      </c>
      <c r="O154" s="706"/>
    </row>
    <row r="155" spans="1:15" s="548" customFormat="1" ht="15" customHeight="1">
      <c r="A155" s="698" t="s">
        <v>642</v>
      </c>
      <c r="B155" s="614" t="s">
        <v>643</v>
      </c>
      <c r="C155" s="614" t="s">
        <v>53</v>
      </c>
      <c r="D155" s="697">
        <v>41162</v>
      </c>
      <c r="E155" s="698">
        <v>545</v>
      </c>
      <c r="F155" s="699">
        <v>87.11</v>
      </c>
      <c r="G155" s="700">
        <f t="shared" si="21"/>
        <v>47474.95</v>
      </c>
      <c r="H155" s="701"/>
      <c r="I155" s="697">
        <v>41208</v>
      </c>
      <c r="J155" s="699">
        <v>86.53</v>
      </c>
      <c r="K155" s="703">
        <f t="shared" si="22"/>
        <v>47158.85</v>
      </c>
      <c r="L155" s="704">
        <f t="shared" si="25"/>
        <v>-316.09999999999854</v>
      </c>
      <c r="M155" s="712">
        <v>1</v>
      </c>
      <c r="N155" s="813">
        <f t="shared" si="26"/>
        <v>-316.09999999999854</v>
      </c>
      <c r="O155" s="706"/>
    </row>
    <row r="156" spans="1:15" s="548" customFormat="1" ht="15" customHeight="1">
      <c r="A156" s="698" t="s">
        <v>644</v>
      </c>
      <c r="B156" s="614" t="s">
        <v>645</v>
      </c>
      <c r="C156" s="614" t="s">
        <v>53</v>
      </c>
      <c r="D156" s="697">
        <v>41159</v>
      </c>
      <c r="E156" s="698">
        <v>500</v>
      </c>
      <c r="F156" s="699">
        <v>75.44</v>
      </c>
      <c r="G156" s="700">
        <f t="shared" si="21"/>
        <v>37720</v>
      </c>
      <c r="H156" s="701"/>
      <c r="I156" s="697">
        <v>41215</v>
      </c>
      <c r="J156" s="699">
        <v>74.849999999999994</v>
      </c>
      <c r="K156" s="703">
        <f t="shared" si="22"/>
        <v>37425</v>
      </c>
      <c r="L156" s="704">
        <f t="shared" si="25"/>
        <v>-295</v>
      </c>
      <c r="M156" s="712">
        <v>1</v>
      </c>
      <c r="N156" s="813">
        <f t="shared" si="26"/>
        <v>-295</v>
      </c>
      <c r="O156" s="706"/>
    </row>
    <row r="157" spans="1:15" s="548" customFormat="1" ht="15" customHeight="1">
      <c r="A157" s="698" t="s">
        <v>646</v>
      </c>
      <c r="B157" s="614" t="s">
        <v>647</v>
      </c>
      <c r="C157" s="614" t="s">
        <v>53</v>
      </c>
      <c r="D157" s="697">
        <v>41180</v>
      </c>
      <c r="E157" s="698">
        <v>243</v>
      </c>
      <c r="F157" s="699">
        <v>38.1</v>
      </c>
      <c r="G157" s="700">
        <f t="shared" si="21"/>
        <v>9258.3000000000011</v>
      </c>
      <c r="H157" s="701"/>
      <c r="I157" s="697">
        <v>41215</v>
      </c>
      <c r="J157" s="699">
        <v>34</v>
      </c>
      <c r="K157" s="703">
        <f t="shared" si="22"/>
        <v>8262</v>
      </c>
      <c r="L157" s="704">
        <f t="shared" si="25"/>
        <v>-996.30000000000109</v>
      </c>
      <c r="M157" s="712">
        <v>1</v>
      </c>
      <c r="N157" s="813">
        <f t="shared" si="26"/>
        <v>-996.30000000000109</v>
      </c>
      <c r="O157" s="706"/>
    </row>
    <row r="158" spans="1:15" s="548" customFormat="1" ht="15" customHeight="1">
      <c r="A158" s="698" t="s">
        <v>648</v>
      </c>
      <c r="B158" s="614" t="s">
        <v>649</v>
      </c>
      <c r="C158" s="614" t="s">
        <v>53</v>
      </c>
      <c r="D158" s="697">
        <v>41180</v>
      </c>
      <c r="E158" s="698">
        <v>515</v>
      </c>
      <c r="F158" s="699">
        <v>21.15</v>
      </c>
      <c r="G158" s="700">
        <f t="shared" si="21"/>
        <v>10892.25</v>
      </c>
      <c r="H158" s="701"/>
      <c r="I158" s="697">
        <v>41215</v>
      </c>
      <c r="J158" s="699">
        <v>19.23</v>
      </c>
      <c r="K158" s="703">
        <f t="shared" si="22"/>
        <v>9903.4500000000007</v>
      </c>
      <c r="L158" s="704">
        <f t="shared" si="25"/>
        <v>-988.79999999999927</v>
      </c>
      <c r="M158" s="712">
        <v>1</v>
      </c>
      <c r="N158" s="813">
        <f t="shared" si="26"/>
        <v>-988.79999999999927</v>
      </c>
      <c r="O158" s="706"/>
    </row>
    <row r="159" spans="1:15" s="548" customFormat="1" ht="15" customHeight="1">
      <c r="A159" s="698" t="s">
        <v>650</v>
      </c>
      <c r="B159" s="614" t="s">
        <v>651</v>
      </c>
      <c r="C159" s="614" t="s">
        <v>53</v>
      </c>
      <c r="D159" s="697">
        <v>41180</v>
      </c>
      <c r="E159" s="698">
        <v>278</v>
      </c>
      <c r="F159" s="699">
        <v>85.63</v>
      </c>
      <c r="G159" s="700">
        <f t="shared" si="21"/>
        <v>23805.14</v>
      </c>
      <c r="H159" s="701"/>
      <c r="I159" s="697">
        <v>41227</v>
      </c>
      <c r="J159" s="699">
        <v>82.94</v>
      </c>
      <c r="K159" s="703">
        <f t="shared" si="22"/>
        <v>23057.32</v>
      </c>
      <c r="L159" s="704">
        <f t="shared" si="25"/>
        <v>-747.81999999999971</v>
      </c>
      <c r="M159" s="712">
        <v>1</v>
      </c>
      <c r="N159" s="813">
        <f t="shared" si="26"/>
        <v>-747.81999999999971</v>
      </c>
      <c r="O159" s="706"/>
    </row>
    <row r="160" spans="1:15" s="548" customFormat="1" ht="15" customHeight="1">
      <c r="A160" s="698" t="s">
        <v>652</v>
      </c>
      <c r="B160" s="614" t="s">
        <v>653</v>
      </c>
      <c r="C160" s="614" t="s">
        <v>53</v>
      </c>
      <c r="D160" s="697">
        <v>41180</v>
      </c>
      <c r="E160" s="698">
        <v>383</v>
      </c>
      <c r="F160" s="699">
        <v>78.73</v>
      </c>
      <c r="G160" s="700">
        <f t="shared" si="21"/>
        <v>30153.59</v>
      </c>
      <c r="H160" s="701"/>
      <c r="I160" s="697">
        <v>41227</v>
      </c>
      <c r="J160" s="699">
        <v>76.91</v>
      </c>
      <c r="K160" s="703">
        <f t="shared" si="22"/>
        <v>29456.53</v>
      </c>
      <c r="L160" s="704">
        <f t="shared" si="25"/>
        <v>-697.06000000000131</v>
      </c>
      <c r="M160" s="712">
        <v>1</v>
      </c>
      <c r="N160" s="813">
        <f t="shared" si="26"/>
        <v>-697.06000000000131</v>
      </c>
      <c r="O160" s="706"/>
    </row>
    <row r="161" spans="1:15" s="548" customFormat="1" ht="15" customHeight="1">
      <c r="A161" s="698" t="s">
        <v>654</v>
      </c>
      <c r="B161" s="614" t="s">
        <v>655</v>
      </c>
      <c r="C161" s="614" t="s">
        <v>53</v>
      </c>
      <c r="D161" s="697">
        <v>41180</v>
      </c>
      <c r="E161" s="698">
        <v>980</v>
      </c>
      <c r="F161" s="699">
        <v>32.49</v>
      </c>
      <c r="G161" s="700">
        <f t="shared" si="21"/>
        <v>31840.2</v>
      </c>
      <c r="H161" s="701"/>
      <c r="I161" s="697">
        <v>41228</v>
      </c>
      <c r="J161" s="699">
        <v>32.340000000000003</v>
      </c>
      <c r="K161" s="703">
        <f t="shared" si="22"/>
        <v>31693.200000000004</v>
      </c>
      <c r="L161" s="704">
        <f t="shared" si="25"/>
        <v>-146.99999999999636</v>
      </c>
      <c r="M161" s="712">
        <v>1</v>
      </c>
      <c r="N161" s="813">
        <f t="shared" si="26"/>
        <v>-146.99999999999636</v>
      </c>
      <c r="O161" s="706"/>
    </row>
    <row r="162" spans="1:15" s="548" customFormat="1" ht="15" customHeight="1">
      <c r="A162" s="698" t="s">
        <v>477</v>
      </c>
      <c r="B162" s="614" t="s">
        <v>478</v>
      </c>
      <c r="C162" s="614" t="s">
        <v>53</v>
      </c>
      <c r="D162" s="697">
        <v>41253</v>
      </c>
      <c r="E162" s="698">
        <v>416</v>
      </c>
      <c r="F162" s="699">
        <v>49.58</v>
      </c>
      <c r="G162" s="700">
        <f t="shared" si="21"/>
        <v>20625.28</v>
      </c>
      <c r="H162" s="701"/>
      <c r="I162" s="697">
        <v>41254</v>
      </c>
      <c r="J162" s="699">
        <v>47.18</v>
      </c>
      <c r="K162" s="703">
        <f t="shared" si="22"/>
        <v>19626.88</v>
      </c>
      <c r="L162" s="704">
        <f t="shared" si="25"/>
        <v>-998.39999999999782</v>
      </c>
      <c r="M162" s="712">
        <v>1</v>
      </c>
      <c r="N162" s="813">
        <f t="shared" si="26"/>
        <v>-998.39999999999782</v>
      </c>
      <c r="O162" s="706"/>
    </row>
    <row r="163" spans="1:15" s="548" customFormat="1" ht="15" customHeight="1">
      <c r="A163" s="696" t="s">
        <v>656</v>
      </c>
      <c r="B163" s="613" t="s">
        <v>657</v>
      </c>
      <c r="C163" s="613" t="s">
        <v>78</v>
      </c>
      <c r="D163" s="707">
        <v>41163</v>
      </c>
      <c r="E163" s="696">
        <v>1020</v>
      </c>
      <c r="F163" s="708">
        <v>32.479999999999997</v>
      </c>
      <c r="G163" s="709">
        <f>SUM(E163*F163)</f>
        <v>33129.599999999999</v>
      </c>
      <c r="H163" s="710"/>
      <c r="I163" s="707">
        <v>41263</v>
      </c>
      <c r="J163" s="708">
        <v>31.03</v>
      </c>
      <c r="K163" s="711">
        <f>SUM(E163*J163)</f>
        <v>31650.600000000002</v>
      </c>
      <c r="L163" s="704">
        <f>SUM(G163-K163)</f>
        <v>1478.9999999999964</v>
      </c>
      <c r="M163" s="712">
        <v>1</v>
      </c>
      <c r="N163" s="813">
        <f>SUM(G163-K163)*M163</f>
        <v>1478.9999999999964</v>
      </c>
      <c r="O163" s="706"/>
    </row>
    <row r="164" spans="1:15" s="548" customFormat="1" ht="15" customHeight="1">
      <c r="A164" s="698" t="s">
        <v>658</v>
      </c>
      <c r="B164" s="614" t="s">
        <v>659</v>
      </c>
      <c r="C164" s="614" t="s">
        <v>53</v>
      </c>
      <c r="D164" s="697">
        <v>41165</v>
      </c>
      <c r="E164" s="698">
        <v>455</v>
      </c>
      <c r="F164" s="699">
        <v>58.28</v>
      </c>
      <c r="G164" s="700">
        <f t="shared" si="21"/>
        <v>26517.4</v>
      </c>
      <c r="H164" s="701"/>
      <c r="I164" s="697">
        <v>41263</v>
      </c>
      <c r="J164" s="699">
        <v>61.59</v>
      </c>
      <c r="K164" s="703">
        <f t="shared" si="22"/>
        <v>28023.45</v>
      </c>
      <c r="L164" s="704">
        <f t="shared" ref="L164:L171" si="27">SUM(K164-G164)</f>
        <v>1506.0499999999993</v>
      </c>
      <c r="M164" s="712">
        <v>1</v>
      </c>
      <c r="N164" s="813">
        <f t="shared" si="26"/>
        <v>1506.0499999999993</v>
      </c>
      <c r="O164" s="706"/>
    </row>
    <row r="165" spans="1:15" s="548" customFormat="1" ht="15" customHeight="1">
      <c r="A165" s="698" t="s">
        <v>660</v>
      </c>
      <c r="B165" s="614" t="s">
        <v>661</v>
      </c>
      <c r="C165" s="614" t="s">
        <v>53</v>
      </c>
      <c r="D165" s="697">
        <v>41145</v>
      </c>
      <c r="E165" s="698">
        <v>757</v>
      </c>
      <c r="F165" s="699">
        <v>56.14</v>
      </c>
      <c r="G165" s="700">
        <f t="shared" si="21"/>
        <v>42497.98</v>
      </c>
      <c r="H165" s="701"/>
      <c r="I165" s="697">
        <v>41270</v>
      </c>
      <c r="J165" s="699">
        <v>57.5</v>
      </c>
      <c r="K165" s="703">
        <f t="shared" si="22"/>
        <v>43527.5</v>
      </c>
      <c r="L165" s="704">
        <f t="shared" si="27"/>
        <v>1029.5199999999968</v>
      </c>
      <c r="M165" s="712">
        <v>1</v>
      </c>
      <c r="N165" s="813">
        <f t="shared" si="26"/>
        <v>1029.5199999999968</v>
      </c>
      <c r="O165" s="706"/>
    </row>
    <row r="166" spans="1:15" s="548" customFormat="1" ht="15" customHeight="1">
      <c r="A166" s="698" t="s">
        <v>662</v>
      </c>
      <c r="B166" s="614" t="s">
        <v>663</v>
      </c>
      <c r="C166" s="614" t="s">
        <v>53</v>
      </c>
      <c r="D166" s="697">
        <v>41256</v>
      </c>
      <c r="E166" s="698">
        <v>1086</v>
      </c>
      <c r="F166" s="699">
        <v>41.52</v>
      </c>
      <c r="G166" s="700">
        <f t="shared" si="21"/>
        <v>45090.720000000001</v>
      </c>
      <c r="H166" s="701"/>
      <c r="I166" s="697">
        <v>41271</v>
      </c>
      <c r="J166" s="699">
        <v>40.6</v>
      </c>
      <c r="K166" s="703">
        <f t="shared" si="22"/>
        <v>44091.6</v>
      </c>
      <c r="L166" s="704">
        <f t="shared" si="27"/>
        <v>-999.12000000000262</v>
      </c>
      <c r="M166" s="712">
        <v>1</v>
      </c>
      <c r="N166" s="813">
        <f>SUM(K166-G166)*M166</f>
        <v>-999.12000000000262</v>
      </c>
      <c r="O166" s="706"/>
    </row>
    <row r="167" spans="1:15" s="548" customFormat="1" ht="15" customHeight="1">
      <c r="A167" s="698" t="s">
        <v>862</v>
      </c>
      <c r="B167" s="614" t="s">
        <v>540</v>
      </c>
      <c r="C167" s="614" t="s">
        <v>53</v>
      </c>
      <c r="D167" s="697">
        <v>41276</v>
      </c>
      <c r="E167" s="698">
        <v>667</v>
      </c>
      <c r="F167" s="699">
        <v>45.8</v>
      </c>
      <c r="G167" s="700">
        <f t="shared" ref="G167:G174" si="28">SUM(E167*F167)</f>
        <v>30548.6</v>
      </c>
      <c r="H167" s="701"/>
      <c r="I167" s="697">
        <v>41305</v>
      </c>
      <c r="J167" s="699">
        <v>44.76</v>
      </c>
      <c r="K167" s="703">
        <f t="shared" ref="K167:K174" si="29">SUM(E167*J167)</f>
        <v>29854.92</v>
      </c>
      <c r="L167" s="704">
        <f t="shared" si="27"/>
        <v>-693.68000000000029</v>
      </c>
      <c r="M167" s="712">
        <v>1</v>
      </c>
      <c r="N167" s="813">
        <f>SUM(K167-G167)*M167</f>
        <v>-693.68000000000029</v>
      </c>
      <c r="O167" s="706"/>
    </row>
    <row r="168" spans="1:15" s="548" customFormat="1" ht="15" customHeight="1">
      <c r="A168" s="698" t="s">
        <v>868</v>
      </c>
      <c r="B168" s="614" t="s">
        <v>869</v>
      </c>
      <c r="C168" s="614" t="s">
        <v>53</v>
      </c>
      <c r="D168" s="697">
        <v>41291</v>
      </c>
      <c r="E168" s="698">
        <v>559</v>
      </c>
      <c r="F168" s="699">
        <v>79.25</v>
      </c>
      <c r="G168" s="700">
        <f t="shared" si="28"/>
        <v>44300.75</v>
      </c>
      <c r="H168" s="701"/>
      <c r="I168" s="697">
        <v>41305</v>
      </c>
      <c r="J168" s="699">
        <v>76.569999999999993</v>
      </c>
      <c r="K168" s="703">
        <f t="shared" si="29"/>
        <v>42802.63</v>
      </c>
      <c r="L168" s="704">
        <f t="shared" si="27"/>
        <v>-1498.1200000000026</v>
      </c>
      <c r="M168" s="712">
        <v>1</v>
      </c>
      <c r="N168" s="813">
        <f>SUM(K168-G168)*M168</f>
        <v>-1498.1200000000026</v>
      </c>
      <c r="O168" s="706"/>
    </row>
    <row r="169" spans="1:15" s="547" customFormat="1" ht="15" customHeight="1">
      <c r="A169" s="698" t="s">
        <v>871</v>
      </c>
      <c r="B169" s="614" t="s">
        <v>872</v>
      </c>
      <c r="C169" s="614" t="s">
        <v>53</v>
      </c>
      <c r="D169" s="697">
        <v>41298</v>
      </c>
      <c r="E169" s="698">
        <v>600</v>
      </c>
      <c r="F169" s="699">
        <v>64.77</v>
      </c>
      <c r="G169" s="700">
        <f t="shared" si="28"/>
        <v>38862</v>
      </c>
      <c r="H169" s="717"/>
      <c r="I169" s="702">
        <v>41309</v>
      </c>
      <c r="J169" s="699">
        <v>62.27</v>
      </c>
      <c r="K169" s="703">
        <f t="shared" si="29"/>
        <v>37362</v>
      </c>
      <c r="L169" s="704">
        <f t="shared" si="27"/>
        <v>-1500</v>
      </c>
      <c r="M169" s="712">
        <v>1</v>
      </c>
      <c r="N169" s="813">
        <f>SUM(K169-G169)*M169</f>
        <v>-1500</v>
      </c>
      <c r="O169" s="612"/>
    </row>
    <row r="170" spans="1:15" s="546" customFormat="1" ht="15" customHeight="1">
      <c r="A170" s="690" t="s">
        <v>928</v>
      </c>
      <c r="B170" s="614" t="s">
        <v>929</v>
      </c>
      <c r="C170" s="614" t="s">
        <v>53</v>
      </c>
      <c r="D170" s="697">
        <v>41302</v>
      </c>
      <c r="E170" s="698">
        <v>943</v>
      </c>
      <c r="F170" s="699">
        <v>35.18</v>
      </c>
      <c r="G170" s="700">
        <f t="shared" si="28"/>
        <v>33174.74</v>
      </c>
      <c r="H170" s="701"/>
      <c r="I170" s="702">
        <v>41311</v>
      </c>
      <c r="J170" s="699">
        <v>34.119999999999997</v>
      </c>
      <c r="K170" s="703">
        <f t="shared" si="29"/>
        <v>32175.159999999996</v>
      </c>
      <c r="L170" s="704">
        <f t="shared" si="27"/>
        <v>-999.58000000000175</v>
      </c>
      <c r="M170" s="712">
        <v>1</v>
      </c>
      <c r="N170" s="813">
        <f>SUM(L170*M170)</f>
        <v>-999.58000000000175</v>
      </c>
      <c r="O170" s="718"/>
    </row>
    <row r="171" spans="1:15" s="548" customFormat="1" ht="15" customHeight="1">
      <c r="A171" s="698" t="s">
        <v>850</v>
      </c>
      <c r="B171" s="614" t="s">
        <v>851</v>
      </c>
      <c r="C171" s="614" t="s">
        <v>53</v>
      </c>
      <c r="D171" s="697">
        <v>41158</v>
      </c>
      <c r="E171" s="698">
        <v>364</v>
      </c>
      <c r="F171" s="699">
        <v>72.5</v>
      </c>
      <c r="G171" s="700">
        <f t="shared" si="28"/>
        <v>26390</v>
      </c>
      <c r="H171" s="701"/>
      <c r="I171" s="702">
        <v>41312</v>
      </c>
      <c r="J171" s="699">
        <v>77.430000000000007</v>
      </c>
      <c r="K171" s="703">
        <f t="shared" si="29"/>
        <v>28184.520000000004</v>
      </c>
      <c r="L171" s="704">
        <f t="shared" si="27"/>
        <v>1794.5200000000041</v>
      </c>
      <c r="M171" s="712">
        <v>1</v>
      </c>
      <c r="N171" s="813">
        <f>SUM(K171-G171)*M171</f>
        <v>1794.5200000000041</v>
      </c>
      <c r="O171" s="706"/>
    </row>
    <row r="172" spans="1:15" s="548" customFormat="1" ht="15" customHeight="1">
      <c r="A172" s="698" t="s">
        <v>863</v>
      </c>
      <c r="B172" s="614" t="s">
        <v>569</v>
      </c>
      <c r="C172" s="614" t="s">
        <v>53</v>
      </c>
      <c r="D172" s="697">
        <v>41276</v>
      </c>
      <c r="E172" s="698">
        <v>380</v>
      </c>
      <c r="F172" s="699">
        <v>78.39</v>
      </c>
      <c r="G172" s="700">
        <f t="shared" si="28"/>
        <v>29788.2</v>
      </c>
      <c r="H172" s="701"/>
      <c r="I172" s="702">
        <v>41319</v>
      </c>
      <c r="J172" s="699">
        <v>74.930000000000007</v>
      </c>
      <c r="K172" s="703">
        <f t="shared" si="29"/>
        <v>28473.4</v>
      </c>
      <c r="L172" s="704">
        <f t="shared" ref="L172:L177" si="30">SUM(K172-G172)</f>
        <v>-1314.7999999999993</v>
      </c>
      <c r="M172" s="712">
        <v>1</v>
      </c>
      <c r="N172" s="813">
        <f>SUM(K172-G172)*M172</f>
        <v>-1314.7999999999993</v>
      </c>
      <c r="O172" s="706"/>
    </row>
    <row r="173" spans="1:15" s="546" customFormat="1" ht="15" customHeight="1">
      <c r="A173" s="690" t="s">
        <v>604</v>
      </c>
      <c r="B173" s="614" t="s">
        <v>605</v>
      </c>
      <c r="C173" s="614" t="s">
        <v>53</v>
      </c>
      <c r="D173" s="697">
        <v>41304</v>
      </c>
      <c r="E173" s="698">
        <v>625</v>
      </c>
      <c r="F173" s="699">
        <v>47.28</v>
      </c>
      <c r="G173" s="700">
        <f t="shared" si="28"/>
        <v>29550</v>
      </c>
      <c r="H173" s="701"/>
      <c r="I173" s="702">
        <v>41319</v>
      </c>
      <c r="J173" s="699">
        <v>45.84</v>
      </c>
      <c r="K173" s="703">
        <f t="shared" si="29"/>
        <v>28650.000000000004</v>
      </c>
      <c r="L173" s="704">
        <f t="shared" si="30"/>
        <v>-899.99999999999636</v>
      </c>
      <c r="M173" s="712">
        <v>1</v>
      </c>
      <c r="N173" s="813">
        <f>SUM(L173*M173)</f>
        <v>-899.99999999999636</v>
      </c>
      <c r="O173" s="718"/>
    </row>
    <row r="174" spans="1:15" s="546" customFormat="1" ht="15" customHeight="1">
      <c r="A174" s="690" t="s">
        <v>1005</v>
      </c>
      <c r="B174" s="614" t="s">
        <v>619</v>
      </c>
      <c r="C174" s="614" t="s">
        <v>53</v>
      </c>
      <c r="D174" s="697">
        <v>41319</v>
      </c>
      <c r="E174" s="698">
        <v>728</v>
      </c>
      <c r="F174" s="699">
        <v>30.48</v>
      </c>
      <c r="G174" s="700">
        <f t="shared" si="28"/>
        <v>22189.439999999999</v>
      </c>
      <c r="H174" s="701"/>
      <c r="I174" s="702">
        <v>41320</v>
      </c>
      <c r="J174" s="699">
        <v>28.17</v>
      </c>
      <c r="K174" s="703">
        <f t="shared" si="29"/>
        <v>20507.760000000002</v>
      </c>
      <c r="L174" s="704">
        <f t="shared" si="30"/>
        <v>-1681.6799999999967</v>
      </c>
      <c r="M174" s="712">
        <v>1</v>
      </c>
      <c r="N174" s="813">
        <f>SUM(L174*M174)</f>
        <v>-1681.6799999999967</v>
      </c>
      <c r="O174" s="718"/>
    </row>
    <row r="175" spans="1:15" s="546" customFormat="1" ht="15" customHeight="1">
      <c r="A175" s="690" t="s">
        <v>975</v>
      </c>
      <c r="B175" s="614" t="s">
        <v>976</v>
      </c>
      <c r="C175" s="614" t="s">
        <v>53</v>
      </c>
      <c r="D175" s="697">
        <v>41317</v>
      </c>
      <c r="E175" s="698">
        <v>694</v>
      </c>
      <c r="F175" s="699">
        <v>44.33</v>
      </c>
      <c r="G175" s="700">
        <f t="shared" ref="G175:G184" si="31">SUM(E175*F175)</f>
        <v>30765.02</v>
      </c>
      <c r="H175" s="701"/>
      <c r="I175" s="702">
        <v>41326</v>
      </c>
      <c r="J175" s="699">
        <v>42.17</v>
      </c>
      <c r="K175" s="703">
        <f t="shared" ref="K175:K184" si="32">SUM(E175*J175)</f>
        <v>29265.98</v>
      </c>
      <c r="L175" s="704">
        <f t="shared" si="30"/>
        <v>-1499.0400000000009</v>
      </c>
      <c r="M175" s="712">
        <v>1</v>
      </c>
      <c r="N175" s="813">
        <f>SUM(L175*M175)</f>
        <v>-1499.0400000000009</v>
      </c>
      <c r="O175" s="718"/>
    </row>
    <row r="176" spans="1:15" s="546" customFormat="1" ht="15" customHeight="1">
      <c r="A176" s="690" t="s">
        <v>1000</v>
      </c>
      <c r="B176" s="614" t="s">
        <v>1033</v>
      </c>
      <c r="C176" s="614" t="s">
        <v>53</v>
      </c>
      <c r="D176" s="697">
        <v>41320</v>
      </c>
      <c r="E176" s="698">
        <v>676</v>
      </c>
      <c r="F176" s="699">
        <v>75.849999999999994</v>
      </c>
      <c r="G176" s="700">
        <f t="shared" si="31"/>
        <v>51274.6</v>
      </c>
      <c r="H176" s="701"/>
      <c r="I176" s="702">
        <v>41326</v>
      </c>
      <c r="J176" s="699">
        <v>73.63</v>
      </c>
      <c r="K176" s="703">
        <f t="shared" si="32"/>
        <v>49773.88</v>
      </c>
      <c r="L176" s="704">
        <f t="shared" si="30"/>
        <v>-1500.7200000000012</v>
      </c>
      <c r="M176" s="712">
        <v>1</v>
      </c>
      <c r="N176" s="813">
        <f>SUM(L176*M176)</f>
        <v>-1500.7200000000012</v>
      </c>
      <c r="O176" s="718"/>
    </row>
    <row r="177" spans="1:15" s="548" customFormat="1" ht="15" customHeight="1">
      <c r="A177" s="698" t="s">
        <v>848</v>
      </c>
      <c r="B177" s="614" t="s">
        <v>849</v>
      </c>
      <c r="C177" s="614" t="s">
        <v>53</v>
      </c>
      <c r="D177" s="697">
        <v>40900</v>
      </c>
      <c r="E177" s="698">
        <v>410</v>
      </c>
      <c r="F177" s="699">
        <v>89.06</v>
      </c>
      <c r="G177" s="700">
        <f t="shared" si="31"/>
        <v>36514.6</v>
      </c>
      <c r="H177" s="701"/>
      <c r="I177" s="702">
        <v>41327</v>
      </c>
      <c r="J177" s="699">
        <v>157.1</v>
      </c>
      <c r="K177" s="703">
        <f t="shared" si="32"/>
        <v>64411</v>
      </c>
      <c r="L177" s="704">
        <f t="shared" si="30"/>
        <v>27896.400000000001</v>
      </c>
      <c r="M177" s="712">
        <v>1</v>
      </c>
      <c r="N177" s="813">
        <f>SUM(K177-G177)*M177</f>
        <v>27896.400000000001</v>
      </c>
      <c r="O177" s="706"/>
    </row>
    <row r="178" spans="1:15" s="548" customFormat="1" ht="15" customHeight="1">
      <c r="A178" s="698" t="s">
        <v>870</v>
      </c>
      <c r="B178" s="614" t="s">
        <v>653</v>
      </c>
      <c r="C178" s="614" t="s">
        <v>53</v>
      </c>
      <c r="D178" s="697">
        <v>41295</v>
      </c>
      <c r="E178" s="698">
        <v>417</v>
      </c>
      <c r="F178" s="699">
        <v>83.87</v>
      </c>
      <c r="G178" s="700">
        <f t="shared" si="31"/>
        <v>34973.79</v>
      </c>
      <c r="H178" s="701"/>
      <c r="I178" s="702">
        <v>41330</v>
      </c>
      <c r="J178" s="699">
        <v>84.43</v>
      </c>
      <c r="K178" s="703">
        <f t="shared" si="32"/>
        <v>35207.310000000005</v>
      </c>
      <c r="L178" s="704">
        <f t="shared" ref="L178:L184" si="33">SUM(K178-G178)</f>
        <v>233.52000000000407</v>
      </c>
      <c r="M178" s="712">
        <v>1</v>
      </c>
      <c r="N178" s="813">
        <f>SUM(K178-G178)*M178</f>
        <v>233.52000000000407</v>
      </c>
      <c r="O178" s="706"/>
    </row>
    <row r="179" spans="1:15" s="546" customFormat="1" ht="15" customHeight="1">
      <c r="A179" s="690" t="s">
        <v>934</v>
      </c>
      <c r="B179" s="614" t="s">
        <v>647</v>
      </c>
      <c r="C179" s="614" t="s">
        <v>53</v>
      </c>
      <c r="D179" s="697">
        <v>41306</v>
      </c>
      <c r="E179" s="698">
        <v>707</v>
      </c>
      <c r="F179" s="699">
        <v>38.58</v>
      </c>
      <c r="G179" s="700">
        <f t="shared" si="31"/>
        <v>27276.059999999998</v>
      </c>
      <c r="H179" s="701"/>
      <c r="I179" s="702">
        <v>41331</v>
      </c>
      <c r="J179" s="699">
        <v>36.76</v>
      </c>
      <c r="K179" s="703">
        <f t="shared" si="32"/>
        <v>25989.32</v>
      </c>
      <c r="L179" s="704">
        <f t="shared" si="33"/>
        <v>-1286.739999999998</v>
      </c>
      <c r="M179" s="712">
        <v>1</v>
      </c>
      <c r="N179" s="813">
        <f>SUM(L179*M179)</f>
        <v>-1286.739999999998</v>
      </c>
      <c r="O179" s="718"/>
    </row>
    <row r="180" spans="1:15" s="546" customFormat="1" ht="15" customHeight="1">
      <c r="A180" s="690" t="s">
        <v>636</v>
      </c>
      <c r="B180" s="614" t="s">
        <v>1053</v>
      </c>
      <c r="C180" s="614" t="s">
        <v>53</v>
      </c>
      <c r="D180" s="697">
        <v>41330</v>
      </c>
      <c r="E180" s="698">
        <v>1111</v>
      </c>
      <c r="F180" s="699">
        <v>32.85</v>
      </c>
      <c r="G180" s="700">
        <f t="shared" si="31"/>
        <v>36496.35</v>
      </c>
      <c r="H180" s="701"/>
      <c r="I180" s="702">
        <v>41331</v>
      </c>
      <c r="J180" s="699">
        <v>31.95</v>
      </c>
      <c r="K180" s="703">
        <f t="shared" si="32"/>
        <v>35496.449999999997</v>
      </c>
      <c r="L180" s="704">
        <f t="shared" si="33"/>
        <v>-999.90000000000146</v>
      </c>
      <c r="M180" s="712">
        <v>1</v>
      </c>
      <c r="N180" s="813">
        <f>SUM(L180*M180)</f>
        <v>-999.90000000000146</v>
      </c>
      <c r="O180" s="718"/>
    </row>
    <row r="181" spans="1:15" s="546" customFormat="1" ht="15" customHeight="1">
      <c r="A181" s="690" t="s">
        <v>1029</v>
      </c>
      <c r="B181" s="614" t="s">
        <v>1030</v>
      </c>
      <c r="C181" s="614" t="s">
        <v>53</v>
      </c>
      <c r="D181" s="697">
        <v>41325</v>
      </c>
      <c r="E181" s="698">
        <v>714</v>
      </c>
      <c r="F181" s="699">
        <v>38.81</v>
      </c>
      <c r="G181" s="700">
        <f t="shared" si="31"/>
        <v>27710.34</v>
      </c>
      <c r="H181" s="701"/>
      <c r="I181" s="702">
        <v>41331</v>
      </c>
      <c r="J181" s="699">
        <v>37.03</v>
      </c>
      <c r="K181" s="703">
        <f t="shared" si="32"/>
        <v>26439.420000000002</v>
      </c>
      <c r="L181" s="704">
        <f t="shared" si="33"/>
        <v>-1270.9199999999983</v>
      </c>
      <c r="M181" s="712">
        <v>1</v>
      </c>
      <c r="N181" s="813">
        <f>SUM(L181*M181)</f>
        <v>-1270.9199999999983</v>
      </c>
      <c r="O181" s="718"/>
    </row>
    <row r="182" spans="1:15" s="548" customFormat="1" ht="15" customHeight="1">
      <c r="A182" s="698" t="s">
        <v>856</v>
      </c>
      <c r="B182" s="614" t="s">
        <v>857</v>
      </c>
      <c r="C182" s="614" t="s">
        <v>53</v>
      </c>
      <c r="D182" s="697">
        <v>41180</v>
      </c>
      <c r="E182" s="698">
        <v>1205</v>
      </c>
      <c r="F182" s="699">
        <v>17.190000000000001</v>
      </c>
      <c r="G182" s="700">
        <f t="shared" si="31"/>
        <v>20713.95</v>
      </c>
      <c r="H182" s="701"/>
      <c r="I182" s="702">
        <v>41332</v>
      </c>
      <c r="J182" s="699">
        <v>22.04</v>
      </c>
      <c r="K182" s="703">
        <f t="shared" si="32"/>
        <v>26558.2</v>
      </c>
      <c r="L182" s="704">
        <f t="shared" si="33"/>
        <v>5844.25</v>
      </c>
      <c r="M182" s="712">
        <v>1</v>
      </c>
      <c r="N182" s="813">
        <f>SUM(K182-G182)*M182</f>
        <v>5844.25</v>
      </c>
      <c r="O182" s="706"/>
    </row>
    <row r="183" spans="1:15" s="546" customFormat="1" ht="15" customHeight="1">
      <c r="A183" s="690" t="s">
        <v>1058</v>
      </c>
      <c r="B183" s="614" t="s">
        <v>1052</v>
      </c>
      <c r="C183" s="614" t="s">
        <v>53</v>
      </c>
      <c r="D183" s="697">
        <v>41330</v>
      </c>
      <c r="E183" s="698">
        <v>694</v>
      </c>
      <c r="F183" s="699">
        <v>45.05</v>
      </c>
      <c r="G183" s="700">
        <f t="shared" si="31"/>
        <v>31264.699999999997</v>
      </c>
      <c r="H183" s="701"/>
      <c r="I183" s="702">
        <v>41332</v>
      </c>
      <c r="J183" s="699">
        <v>43.61</v>
      </c>
      <c r="K183" s="703">
        <f t="shared" si="32"/>
        <v>30265.34</v>
      </c>
      <c r="L183" s="704">
        <f t="shared" si="33"/>
        <v>-999.35999999999694</v>
      </c>
      <c r="M183" s="712">
        <v>1</v>
      </c>
      <c r="N183" s="813">
        <f>SUM(L183*M183)</f>
        <v>-999.35999999999694</v>
      </c>
      <c r="O183" s="718"/>
    </row>
    <row r="184" spans="1:15" s="546" customFormat="1" ht="15" customHeight="1">
      <c r="A184" s="690" t="s">
        <v>966</v>
      </c>
      <c r="B184" s="614" t="s">
        <v>967</v>
      </c>
      <c r="C184" s="614" t="s">
        <v>53</v>
      </c>
      <c r="D184" s="697">
        <v>41312</v>
      </c>
      <c r="E184" s="698">
        <v>517</v>
      </c>
      <c r="F184" s="699">
        <v>97.65</v>
      </c>
      <c r="G184" s="700">
        <f t="shared" si="31"/>
        <v>50485.05</v>
      </c>
      <c r="H184" s="701"/>
      <c r="I184" s="702">
        <v>41333</v>
      </c>
      <c r="J184" s="699">
        <v>94.75</v>
      </c>
      <c r="K184" s="703">
        <f t="shared" si="32"/>
        <v>48985.75</v>
      </c>
      <c r="L184" s="704">
        <f t="shared" si="33"/>
        <v>-1499.3000000000029</v>
      </c>
      <c r="M184" s="712">
        <v>1</v>
      </c>
      <c r="N184" s="813">
        <f>SUM(L184*M184)</f>
        <v>-1499.3000000000029</v>
      </c>
      <c r="O184" s="718"/>
    </row>
    <row r="185" spans="1:15" s="546" customFormat="1" ht="15" customHeight="1">
      <c r="A185" s="690" t="s">
        <v>1060</v>
      </c>
      <c r="B185" s="614" t="s">
        <v>1051</v>
      </c>
      <c r="C185" s="614" t="s">
        <v>53</v>
      </c>
      <c r="D185" s="697">
        <v>41330</v>
      </c>
      <c r="E185" s="698">
        <v>1351</v>
      </c>
      <c r="F185" s="699">
        <v>30.94</v>
      </c>
      <c r="G185" s="700">
        <f t="shared" ref="G185:G190" si="34">SUM(E185*F185)</f>
        <v>41799.94</v>
      </c>
      <c r="H185" s="701"/>
      <c r="I185" s="702">
        <v>41347</v>
      </c>
      <c r="J185" s="699">
        <v>30.2</v>
      </c>
      <c r="K185" s="703">
        <f t="shared" ref="K185:K190" si="35">SUM(E185*J185)</f>
        <v>40800.199999999997</v>
      </c>
      <c r="L185" s="704">
        <f t="shared" ref="L185:L190" si="36">SUM(K185-G185)</f>
        <v>-999.74000000000524</v>
      </c>
      <c r="M185" s="712">
        <v>1</v>
      </c>
      <c r="N185" s="813">
        <f>SUM(L185*M185)</f>
        <v>-999.74000000000524</v>
      </c>
      <c r="O185" s="718"/>
    </row>
    <row r="186" spans="1:15" s="546" customFormat="1" ht="15" customHeight="1">
      <c r="A186" s="690" t="s">
        <v>1050</v>
      </c>
      <c r="B186" s="614" t="s">
        <v>532</v>
      </c>
      <c r="C186" s="614" t="s">
        <v>53</v>
      </c>
      <c r="D186" s="697">
        <v>41305</v>
      </c>
      <c r="E186" s="698">
        <v>535</v>
      </c>
      <c r="F186" s="699">
        <v>65.959999999999994</v>
      </c>
      <c r="G186" s="700">
        <f t="shared" si="34"/>
        <v>35288.6</v>
      </c>
      <c r="H186" s="701"/>
      <c r="I186" s="702">
        <v>41351</v>
      </c>
      <c r="J186" s="699">
        <v>64.05</v>
      </c>
      <c r="K186" s="703">
        <f t="shared" si="35"/>
        <v>34266.75</v>
      </c>
      <c r="L186" s="704">
        <f t="shared" si="36"/>
        <v>-1021.8499999999985</v>
      </c>
      <c r="M186" s="712">
        <v>1</v>
      </c>
      <c r="N186" s="813">
        <f>SUM(L186*M186)</f>
        <v>-1021.8499999999985</v>
      </c>
      <c r="O186" s="718"/>
    </row>
    <row r="187" spans="1:15" s="548" customFormat="1" ht="15" customHeight="1">
      <c r="A187" s="698" t="s">
        <v>860</v>
      </c>
      <c r="B187" s="614" t="s">
        <v>861</v>
      </c>
      <c r="C187" s="614" t="s">
        <v>53</v>
      </c>
      <c r="D187" s="697">
        <v>41254</v>
      </c>
      <c r="E187" s="698">
        <v>266</v>
      </c>
      <c r="F187" s="699">
        <v>81.44</v>
      </c>
      <c r="G187" s="700">
        <f t="shared" si="34"/>
        <v>21663.040000000001</v>
      </c>
      <c r="H187" s="701"/>
      <c r="I187" s="702">
        <v>41351</v>
      </c>
      <c r="J187" s="699">
        <v>86.9</v>
      </c>
      <c r="K187" s="703">
        <f t="shared" si="35"/>
        <v>23115.4</v>
      </c>
      <c r="L187" s="704">
        <f t="shared" si="36"/>
        <v>1452.3600000000006</v>
      </c>
      <c r="M187" s="712">
        <v>1</v>
      </c>
      <c r="N187" s="813">
        <f>SUM(K187-G187)*M187</f>
        <v>1452.3600000000006</v>
      </c>
      <c r="O187" s="706"/>
    </row>
    <row r="188" spans="1:15" s="546" customFormat="1" ht="15" customHeight="1">
      <c r="A188" s="690" t="s">
        <v>475</v>
      </c>
      <c r="B188" s="614" t="s">
        <v>476</v>
      </c>
      <c r="C188" s="614" t="s">
        <v>53</v>
      </c>
      <c r="D188" s="697">
        <v>41337</v>
      </c>
      <c r="E188" s="698">
        <v>707</v>
      </c>
      <c r="F188" s="699">
        <v>65.05</v>
      </c>
      <c r="G188" s="700">
        <f t="shared" si="34"/>
        <v>45990.35</v>
      </c>
      <c r="H188" s="701"/>
      <c r="I188" s="702">
        <v>41351</v>
      </c>
      <c r="J188" s="699">
        <v>64.47</v>
      </c>
      <c r="K188" s="703">
        <f t="shared" si="35"/>
        <v>45580.29</v>
      </c>
      <c r="L188" s="704">
        <f t="shared" si="36"/>
        <v>-410.05999999999767</v>
      </c>
      <c r="M188" s="712">
        <v>1</v>
      </c>
      <c r="N188" s="813">
        <f t="shared" ref="N188:N194" si="37">SUM(L188*M188)</f>
        <v>-410.05999999999767</v>
      </c>
      <c r="O188" s="718"/>
    </row>
    <row r="189" spans="1:15" s="546" customFormat="1" ht="15" customHeight="1">
      <c r="A189" s="690" t="s">
        <v>1085</v>
      </c>
      <c r="B189" s="614" t="s">
        <v>1086</v>
      </c>
      <c r="C189" s="614" t="s">
        <v>53</v>
      </c>
      <c r="D189" s="697">
        <v>41339</v>
      </c>
      <c r="E189" s="698">
        <v>375</v>
      </c>
      <c r="F189" s="699">
        <v>90.32</v>
      </c>
      <c r="G189" s="700">
        <f t="shared" si="34"/>
        <v>33870</v>
      </c>
      <c r="H189" s="701"/>
      <c r="I189" s="702">
        <v>41352</v>
      </c>
      <c r="J189" s="699">
        <v>90.35</v>
      </c>
      <c r="K189" s="703">
        <f t="shared" si="35"/>
        <v>33881.25</v>
      </c>
      <c r="L189" s="704">
        <f t="shared" si="36"/>
        <v>11.25</v>
      </c>
      <c r="M189" s="712">
        <v>1</v>
      </c>
      <c r="N189" s="813">
        <f t="shared" si="37"/>
        <v>11.25</v>
      </c>
      <c r="O189" s="718"/>
    </row>
    <row r="190" spans="1:15" s="546" customFormat="1" ht="15" customHeight="1">
      <c r="A190" s="690" t="s">
        <v>1090</v>
      </c>
      <c r="B190" s="614" t="s">
        <v>1089</v>
      </c>
      <c r="C190" s="614" t="s">
        <v>53</v>
      </c>
      <c r="D190" s="697">
        <v>41339</v>
      </c>
      <c r="E190" s="698">
        <v>1190</v>
      </c>
      <c r="F190" s="699">
        <v>21.72</v>
      </c>
      <c r="G190" s="700">
        <f t="shared" si="34"/>
        <v>25846.799999999999</v>
      </c>
      <c r="H190" s="701"/>
      <c r="I190" s="702">
        <v>41354</v>
      </c>
      <c r="J190" s="699">
        <v>20.94</v>
      </c>
      <c r="K190" s="703">
        <f t="shared" si="35"/>
        <v>24918.600000000002</v>
      </c>
      <c r="L190" s="704">
        <f t="shared" si="36"/>
        <v>-928.19999999999709</v>
      </c>
      <c r="M190" s="712">
        <v>1</v>
      </c>
      <c r="N190" s="813">
        <f t="shared" si="37"/>
        <v>-928.19999999999709</v>
      </c>
      <c r="O190" s="718"/>
    </row>
    <row r="191" spans="1:15" s="546" customFormat="1" ht="15" customHeight="1">
      <c r="A191" s="690" t="s">
        <v>1115</v>
      </c>
      <c r="B191" s="614" t="s">
        <v>1117</v>
      </c>
      <c r="C191" s="614" t="s">
        <v>53</v>
      </c>
      <c r="D191" s="697">
        <v>41355</v>
      </c>
      <c r="E191" s="698">
        <v>47</v>
      </c>
      <c r="F191" s="699">
        <v>461</v>
      </c>
      <c r="G191" s="700">
        <f t="shared" ref="G191:G198" si="38">SUM(E191*F191)</f>
        <v>21667</v>
      </c>
      <c r="H191" s="701"/>
      <c r="I191" s="702">
        <v>41365</v>
      </c>
      <c r="J191" s="699">
        <v>429</v>
      </c>
      <c r="K191" s="703">
        <f t="shared" ref="K191:K198" si="39">SUM(E191*J191)</f>
        <v>20163</v>
      </c>
      <c r="L191" s="704">
        <f t="shared" ref="L191:L198" si="40">SUM(K191-G191)</f>
        <v>-1504</v>
      </c>
      <c r="M191" s="712">
        <v>1</v>
      </c>
      <c r="N191" s="813">
        <f t="shared" si="37"/>
        <v>-1504</v>
      </c>
      <c r="O191" s="718"/>
    </row>
    <row r="192" spans="1:15" s="546" customFormat="1" ht="15" customHeight="1">
      <c r="A192" s="690" t="s">
        <v>1099</v>
      </c>
      <c r="B192" s="614" t="s">
        <v>1100</v>
      </c>
      <c r="C192" s="614" t="s">
        <v>53</v>
      </c>
      <c r="D192" s="697">
        <v>41345</v>
      </c>
      <c r="E192" s="698">
        <v>714</v>
      </c>
      <c r="F192" s="699">
        <v>40.4</v>
      </c>
      <c r="G192" s="700">
        <f t="shared" si="38"/>
        <v>28845.599999999999</v>
      </c>
      <c r="H192" s="701"/>
      <c r="I192" s="702">
        <v>41367</v>
      </c>
      <c r="J192" s="699">
        <v>38.51</v>
      </c>
      <c r="K192" s="703">
        <f t="shared" si="39"/>
        <v>27496.14</v>
      </c>
      <c r="L192" s="704">
        <f t="shared" si="40"/>
        <v>-1349.4599999999991</v>
      </c>
      <c r="M192" s="712">
        <v>1</v>
      </c>
      <c r="N192" s="813">
        <f t="shared" si="37"/>
        <v>-1349.4599999999991</v>
      </c>
      <c r="O192" s="718"/>
    </row>
    <row r="193" spans="1:15" s="546" customFormat="1" ht="15" customHeight="1">
      <c r="A193" s="690" t="s">
        <v>1130</v>
      </c>
      <c r="B193" s="614" t="s">
        <v>1129</v>
      </c>
      <c r="C193" s="614" t="s">
        <v>53</v>
      </c>
      <c r="D193" s="697">
        <v>41365</v>
      </c>
      <c r="E193" s="698">
        <v>625</v>
      </c>
      <c r="F193" s="699">
        <v>64.7</v>
      </c>
      <c r="G193" s="700">
        <f>SUM(E193*F193)</f>
        <v>40437.5</v>
      </c>
      <c r="H193" s="701"/>
      <c r="I193" s="702">
        <v>41368</v>
      </c>
      <c r="J193" s="699">
        <v>62.3</v>
      </c>
      <c r="K193" s="703">
        <f>SUM(E193*J193)</f>
        <v>38937.5</v>
      </c>
      <c r="L193" s="704">
        <f>SUM(K193-G193)</f>
        <v>-1500</v>
      </c>
      <c r="M193" s="712">
        <v>1</v>
      </c>
      <c r="N193" s="813">
        <f>SUM(L193*M193)</f>
        <v>-1500</v>
      </c>
      <c r="O193" s="718"/>
    </row>
    <row r="194" spans="1:15" s="546" customFormat="1" ht="15" customHeight="1">
      <c r="A194" s="690" t="s">
        <v>930</v>
      </c>
      <c r="B194" s="614" t="s">
        <v>931</v>
      </c>
      <c r="C194" s="614" t="s">
        <v>53</v>
      </c>
      <c r="D194" s="697">
        <v>41304</v>
      </c>
      <c r="E194" s="698">
        <v>862</v>
      </c>
      <c r="F194" s="699">
        <v>23.39</v>
      </c>
      <c r="G194" s="700">
        <f t="shared" si="38"/>
        <v>20162.18</v>
      </c>
      <c r="H194" s="701"/>
      <c r="I194" s="702">
        <v>41368</v>
      </c>
      <c r="J194" s="699">
        <v>24.52</v>
      </c>
      <c r="K194" s="703">
        <f t="shared" si="39"/>
        <v>21136.239999999998</v>
      </c>
      <c r="L194" s="704">
        <f t="shared" si="40"/>
        <v>974.05999999999767</v>
      </c>
      <c r="M194" s="712">
        <v>1</v>
      </c>
      <c r="N194" s="813">
        <f t="shared" si="37"/>
        <v>974.05999999999767</v>
      </c>
      <c r="O194" s="718"/>
    </row>
    <row r="195" spans="1:15" s="546" customFormat="1" ht="15" customHeight="1">
      <c r="A195" s="690" t="s">
        <v>963</v>
      </c>
      <c r="B195" s="614" t="s">
        <v>964</v>
      </c>
      <c r="C195" s="614" t="s">
        <v>53</v>
      </c>
      <c r="D195" s="697">
        <v>41366</v>
      </c>
      <c r="E195" s="698">
        <v>555</v>
      </c>
      <c r="F195" s="699">
        <v>65.489999999999995</v>
      </c>
      <c r="G195" s="700">
        <f t="shared" si="38"/>
        <v>36346.949999999997</v>
      </c>
      <c r="H195" s="701"/>
      <c r="I195" s="702">
        <v>41369</v>
      </c>
      <c r="J195" s="699">
        <v>63.87</v>
      </c>
      <c r="K195" s="703">
        <f t="shared" si="39"/>
        <v>35447.85</v>
      </c>
      <c r="L195" s="704">
        <f t="shared" si="40"/>
        <v>-899.09999999999854</v>
      </c>
      <c r="M195" s="712">
        <v>1</v>
      </c>
      <c r="N195" s="813">
        <f>SUM(L195*M195)</f>
        <v>-899.09999999999854</v>
      </c>
      <c r="O195" s="718"/>
    </row>
    <row r="196" spans="1:15" s="546" customFormat="1" ht="15" customHeight="1">
      <c r="A196" s="690" t="s">
        <v>1107</v>
      </c>
      <c r="B196" s="614" t="s">
        <v>496</v>
      </c>
      <c r="C196" s="614" t="s">
        <v>53</v>
      </c>
      <c r="D196" s="697">
        <v>41353</v>
      </c>
      <c r="E196" s="698">
        <v>426</v>
      </c>
      <c r="F196" s="699">
        <v>120.3</v>
      </c>
      <c r="G196" s="700">
        <f t="shared" si="38"/>
        <v>51247.799999999996</v>
      </c>
      <c r="H196" s="701"/>
      <c r="I196" s="702">
        <v>41369</v>
      </c>
      <c r="J196" s="699">
        <v>116.8</v>
      </c>
      <c r="K196" s="703">
        <f t="shared" si="39"/>
        <v>49756.799999999996</v>
      </c>
      <c r="L196" s="704">
        <f t="shared" si="40"/>
        <v>-1491</v>
      </c>
      <c r="M196" s="712">
        <v>1</v>
      </c>
      <c r="N196" s="813">
        <f>SUM(L196*M196)</f>
        <v>-1491</v>
      </c>
      <c r="O196" s="718"/>
    </row>
    <row r="197" spans="1:15" s="546" customFormat="1" ht="15" customHeight="1">
      <c r="A197" s="690" t="s">
        <v>1106</v>
      </c>
      <c r="B197" s="614" t="s">
        <v>1105</v>
      </c>
      <c r="C197" s="614" t="s">
        <v>53</v>
      </c>
      <c r="D197" s="697">
        <v>41347</v>
      </c>
      <c r="E197" s="698">
        <v>250</v>
      </c>
      <c r="F197" s="699">
        <v>214.8</v>
      </c>
      <c r="G197" s="700">
        <f t="shared" si="38"/>
        <v>53700</v>
      </c>
      <c r="H197" s="701"/>
      <c r="I197" s="702">
        <v>41369</v>
      </c>
      <c r="J197" s="699">
        <v>208.8</v>
      </c>
      <c r="K197" s="703">
        <f t="shared" si="39"/>
        <v>52200</v>
      </c>
      <c r="L197" s="704">
        <f t="shared" si="40"/>
        <v>-1500</v>
      </c>
      <c r="M197" s="712">
        <v>1</v>
      </c>
      <c r="N197" s="813">
        <f>SUM(L197*M197)</f>
        <v>-1500</v>
      </c>
      <c r="O197" s="718"/>
    </row>
    <row r="198" spans="1:15" s="546" customFormat="1" ht="15" customHeight="1">
      <c r="A198" s="690" t="s">
        <v>968</v>
      </c>
      <c r="B198" s="614" t="s">
        <v>969</v>
      </c>
      <c r="C198" s="614" t="s">
        <v>53</v>
      </c>
      <c r="D198" s="697">
        <v>41309</v>
      </c>
      <c r="E198" s="698">
        <v>714</v>
      </c>
      <c r="F198" s="699">
        <v>38.659999999999997</v>
      </c>
      <c r="G198" s="700">
        <f t="shared" si="38"/>
        <v>27603.239999999998</v>
      </c>
      <c r="H198" s="701"/>
      <c r="I198" s="702">
        <v>41369</v>
      </c>
      <c r="J198" s="699">
        <v>42.38</v>
      </c>
      <c r="K198" s="703">
        <f t="shared" si="39"/>
        <v>30259.320000000003</v>
      </c>
      <c r="L198" s="704">
        <f t="shared" si="40"/>
        <v>2656.0800000000054</v>
      </c>
      <c r="M198" s="712">
        <v>1</v>
      </c>
      <c r="N198" s="813">
        <f>SUM(L198*M198)</f>
        <v>2656.0800000000054</v>
      </c>
      <c r="O198" s="718"/>
    </row>
    <row r="199" spans="1:15" s="548" customFormat="1" ht="15" customHeight="1">
      <c r="A199" s="698" t="s">
        <v>497</v>
      </c>
      <c r="B199" s="614" t="s">
        <v>498</v>
      </c>
      <c r="C199" s="614" t="s">
        <v>53</v>
      </c>
      <c r="D199" s="697">
        <v>41292</v>
      </c>
      <c r="E199" s="698">
        <v>937</v>
      </c>
      <c r="F199" s="699">
        <v>53.93</v>
      </c>
      <c r="G199" s="700">
        <f t="shared" ref="G199:G207" si="41">SUM(E199*F199)</f>
        <v>50532.409999999996</v>
      </c>
      <c r="H199" s="701"/>
      <c r="I199" s="702">
        <v>41372</v>
      </c>
      <c r="J199" s="699">
        <v>57.99</v>
      </c>
      <c r="K199" s="703">
        <f t="shared" ref="K199:K207" si="42">SUM(E199*J199)</f>
        <v>54336.630000000005</v>
      </c>
      <c r="L199" s="704">
        <f t="shared" ref="L199:L204" si="43">SUM(K199-G199)</f>
        <v>3804.2200000000084</v>
      </c>
      <c r="M199" s="712">
        <v>1</v>
      </c>
      <c r="N199" s="813">
        <f>SUM(K199-G199)*M199</f>
        <v>3804.2200000000084</v>
      </c>
      <c r="O199" s="706"/>
    </row>
    <row r="200" spans="1:15" s="546" customFormat="1" ht="15" customHeight="1">
      <c r="A200" s="690" t="s">
        <v>1126</v>
      </c>
      <c r="B200" s="614" t="s">
        <v>838</v>
      </c>
      <c r="C200" s="614" t="s">
        <v>53</v>
      </c>
      <c r="D200" s="697">
        <v>41365</v>
      </c>
      <c r="E200" s="698">
        <v>1724</v>
      </c>
      <c r="F200" s="699">
        <v>33.700000000000003</v>
      </c>
      <c r="G200" s="700">
        <f t="shared" si="41"/>
        <v>58098.8</v>
      </c>
      <c r="H200" s="701"/>
      <c r="I200" s="702">
        <v>41376</v>
      </c>
      <c r="J200" s="699">
        <v>32.56</v>
      </c>
      <c r="K200" s="703">
        <f t="shared" si="42"/>
        <v>56133.440000000002</v>
      </c>
      <c r="L200" s="704">
        <f t="shared" si="43"/>
        <v>-1965.3600000000006</v>
      </c>
      <c r="M200" s="712">
        <v>1</v>
      </c>
      <c r="N200" s="813">
        <f t="shared" ref="N200:N205" si="44">SUM(L200*M200)</f>
        <v>-1965.3600000000006</v>
      </c>
      <c r="O200" s="718"/>
    </row>
    <row r="201" spans="1:15" s="546" customFormat="1" ht="15" customHeight="1">
      <c r="A201" s="690" t="s">
        <v>1119</v>
      </c>
      <c r="B201" s="614" t="s">
        <v>1120</v>
      </c>
      <c r="C201" s="614" t="s">
        <v>53</v>
      </c>
      <c r="D201" s="697">
        <v>41358</v>
      </c>
      <c r="E201" s="698">
        <v>1351</v>
      </c>
      <c r="F201" s="699">
        <v>14.59</v>
      </c>
      <c r="G201" s="700">
        <f t="shared" si="41"/>
        <v>19711.09</v>
      </c>
      <c r="H201" s="701"/>
      <c r="I201" s="702">
        <v>41376</v>
      </c>
      <c r="J201" s="699">
        <v>13.98</v>
      </c>
      <c r="K201" s="703">
        <f t="shared" si="42"/>
        <v>18886.98</v>
      </c>
      <c r="L201" s="704">
        <f t="shared" si="43"/>
        <v>-824.11000000000058</v>
      </c>
      <c r="M201" s="712">
        <v>1</v>
      </c>
      <c r="N201" s="813">
        <f t="shared" si="44"/>
        <v>-824.11000000000058</v>
      </c>
      <c r="O201" s="718"/>
    </row>
    <row r="202" spans="1:15" s="546" customFormat="1" ht="15" customHeight="1">
      <c r="A202" s="690" t="s">
        <v>547</v>
      </c>
      <c r="B202" s="614" t="s">
        <v>548</v>
      </c>
      <c r="C202" s="614" t="s">
        <v>53</v>
      </c>
      <c r="D202" s="697">
        <v>41338</v>
      </c>
      <c r="E202" s="698">
        <v>641</v>
      </c>
      <c r="F202" s="699">
        <v>63.26</v>
      </c>
      <c r="G202" s="700">
        <f t="shared" si="41"/>
        <v>40549.659999999996</v>
      </c>
      <c r="H202" s="701"/>
      <c r="I202" s="702">
        <v>41379</v>
      </c>
      <c r="J202" s="699">
        <v>64.430000000000007</v>
      </c>
      <c r="K202" s="703">
        <f t="shared" si="42"/>
        <v>41299.630000000005</v>
      </c>
      <c r="L202" s="704">
        <f t="shared" si="43"/>
        <v>749.97000000000844</v>
      </c>
      <c r="M202" s="712">
        <v>1</v>
      </c>
      <c r="N202" s="813">
        <f t="shared" si="44"/>
        <v>749.97000000000844</v>
      </c>
      <c r="O202" s="718"/>
    </row>
    <row r="203" spans="1:15" s="546" customFormat="1" ht="15" customHeight="1">
      <c r="A203" s="690" t="s">
        <v>1092</v>
      </c>
      <c r="B203" s="614" t="s">
        <v>1091</v>
      </c>
      <c r="C203" s="614" t="s">
        <v>53</v>
      </c>
      <c r="D203" s="697">
        <v>41340</v>
      </c>
      <c r="E203" s="698">
        <v>469</v>
      </c>
      <c r="F203" s="699">
        <v>64.34</v>
      </c>
      <c r="G203" s="700">
        <f t="shared" si="41"/>
        <v>30175.460000000003</v>
      </c>
      <c r="H203" s="701"/>
      <c r="I203" s="702">
        <v>41381</v>
      </c>
      <c r="J203" s="699">
        <v>65.09</v>
      </c>
      <c r="K203" s="703">
        <f t="shared" si="42"/>
        <v>30527.210000000003</v>
      </c>
      <c r="L203" s="704">
        <f t="shared" si="43"/>
        <v>351.75</v>
      </c>
      <c r="M203" s="712">
        <v>1</v>
      </c>
      <c r="N203" s="813">
        <f t="shared" si="44"/>
        <v>351.75</v>
      </c>
      <c r="O203" s="718"/>
    </row>
    <row r="204" spans="1:15" s="546" customFormat="1" ht="15" customHeight="1">
      <c r="A204" s="690" t="s">
        <v>932</v>
      </c>
      <c r="B204" s="614" t="s">
        <v>933</v>
      </c>
      <c r="C204" s="614" t="s">
        <v>53</v>
      </c>
      <c r="D204" s="697">
        <v>41305</v>
      </c>
      <c r="E204" s="698">
        <v>600</v>
      </c>
      <c r="F204" s="699">
        <v>68.150000000000006</v>
      </c>
      <c r="G204" s="700">
        <f t="shared" si="41"/>
        <v>40890</v>
      </c>
      <c r="H204" s="701"/>
      <c r="I204" s="702">
        <v>41381</v>
      </c>
      <c r="J204" s="699">
        <v>74.55</v>
      </c>
      <c r="K204" s="703">
        <f t="shared" si="42"/>
        <v>44730</v>
      </c>
      <c r="L204" s="704">
        <f t="shared" si="43"/>
        <v>3840</v>
      </c>
      <c r="M204" s="712">
        <v>1</v>
      </c>
      <c r="N204" s="813">
        <f t="shared" si="44"/>
        <v>3840</v>
      </c>
      <c r="O204" s="718"/>
    </row>
    <row r="205" spans="1:15" s="546" customFormat="1" ht="15" customHeight="1">
      <c r="A205" s="690" t="s">
        <v>1018</v>
      </c>
      <c r="B205" s="614" t="s">
        <v>1019</v>
      </c>
      <c r="C205" s="614" t="s">
        <v>53</v>
      </c>
      <c r="D205" s="697">
        <v>41324</v>
      </c>
      <c r="E205" s="698">
        <v>395</v>
      </c>
      <c r="F205" s="699">
        <v>122.1</v>
      </c>
      <c r="G205" s="700">
        <f t="shared" si="41"/>
        <v>48229.5</v>
      </c>
      <c r="H205" s="701"/>
      <c r="I205" s="702">
        <v>41382</v>
      </c>
      <c r="J205" s="699">
        <v>119.6</v>
      </c>
      <c r="K205" s="703">
        <f t="shared" si="42"/>
        <v>47242</v>
      </c>
      <c r="L205" s="704">
        <f>SUM(K205-G205)</f>
        <v>-987.5</v>
      </c>
      <c r="M205" s="712">
        <v>1</v>
      </c>
      <c r="N205" s="813">
        <f t="shared" si="44"/>
        <v>-987.5</v>
      </c>
      <c r="O205" s="718"/>
    </row>
    <row r="206" spans="1:15" s="546" customFormat="1" ht="15" customHeight="1">
      <c r="A206" s="690" t="s">
        <v>1012</v>
      </c>
      <c r="B206" s="614" t="s">
        <v>1013</v>
      </c>
      <c r="C206" s="614" t="s">
        <v>53</v>
      </c>
      <c r="D206" s="697">
        <v>41325</v>
      </c>
      <c r="E206" s="698">
        <v>685</v>
      </c>
      <c r="F206" s="699">
        <v>58.5</v>
      </c>
      <c r="G206" s="700">
        <f t="shared" si="41"/>
        <v>40072.5</v>
      </c>
      <c r="H206" s="701"/>
      <c r="I206" s="702">
        <v>41382</v>
      </c>
      <c r="J206" s="699">
        <v>59.61</v>
      </c>
      <c r="K206" s="703">
        <f t="shared" si="42"/>
        <v>40832.85</v>
      </c>
      <c r="L206" s="704">
        <f>SUM(K206-G206)</f>
        <v>760.34999999999854</v>
      </c>
      <c r="M206" s="712">
        <v>1</v>
      </c>
      <c r="N206" s="813">
        <f t="shared" ref="N206:N212" si="45">SUM(L206*M206)</f>
        <v>760.34999999999854</v>
      </c>
      <c r="O206" s="718"/>
    </row>
    <row r="207" spans="1:15" s="546" customFormat="1" ht="15" customHeight="1">
      <c r="A207" s="690" t="s">
        <v>1101</v>
      </c>
      <c r="B207" s="614" t="s">
        <v>1102</v>
      </c>
      <c r="C207" s="614" t="s">
        <v>53</v>
      </c>
      <c r="D207" s="697">
        <v>41346</v>
      </c>
      <c r="E207" s="698">
        <v>460</v>
      </c>
      <c r="F207" s="699">
        <v>90.86</v>
      </c>
      <c r="G207" s="700">
        <f t="shared" si="41"/>
        <v>41795.599999999999</v>
      </c>
      <c r="H207" s="701"/>
      <c r="I207" s="702">
        <v>41382</v>
      </c>
      <c r="J207" s="699">
        <v>93.5</v>
      </c>
      <c r="K207" s="703">
        <f t="shared" si="42"/>
        <v>43010</v>
      </c>
      <c r="L207" s="704">
        <f>SUM(K207-G207)</f>
        <v>1214.4000000000015</v>
      </c>
      <c r="M207" s="712">
        <v>1</v>
      </c>
      <c r="N207" s="813">
        <f t="shared" si="45"/>
        <v>1214.4000000000015</v>
      </c>
      <c r="O207" s="718"/>
    </row>
    <row r="208" spans="1:15" s="546" customFormat="1" ht="15" customHeight="1">
      <c r="A208" s="690" t="s">
        <v>1127</v>
      </c>
      <c r="B208" s="614" t="s">
        <v>1128</v>
      </c>
      <c r="C208" s="614" t="s">
        <v>53</v>
      </c>
      <c r="D208" s="697">
        <v>41365</v>
      </c>
      <c r="E208" s="698">
        <v>507</v>
      </c>
      <c r="F208" s="699">
        <v>95.656999999999996</v>
      </c>
      <c r="G208" s="700">
        <f t="shared" ref="G208:G216" si="46">SUM(E208*F208)</f>
        <v>48498.098999999995</v>
      </c>
      <c r="H208" s="701"/>
      <c r="I208" s="702">
        <v>41386</v>
      </c>
      <c r="J208" s="699">
        <v>89.74</v>
      </c>
      <c r="K208" s="703">
        <f t="shared" ref="K208:K216" si="47">SUM(E208*J208)</f>
        <v>45498.18</v>
      </c>
      <c r="L208" s="704">
        <f>SUM(K208-G208)</f>
        <v>-2999.9189999999944</v>
      </c>
      <c r="M208" s="712">
        <v>1</v>
      </c>
      <c r="N208" s="813">
        <f t="shared" si="45"/>
        <v>-2999.9189999999944</v>
      </c>
      <c r="O208" s="718"/>
    </row>
    <row r="209" spans="1:15" s="548" customFormat="1" ht="15" customHeight="1">
      <c r="A209" s="696" t="s">
        <v>1134</v>
      </c>
      <c r="B209" s="613" t="s">
        <v>1135</v>
      </c>
      <c r="C209" s="613" t="s">
        <v>78</v>
      </c>
      <c r="D209" s="707">
        <v>41367</v>
      </c>
      <c r="E209" s="696">
        <v>1266</v>
      </c>
      <c r="F209" s="708">
        <v>18.82</v>
      </c>
      <c r="G209" s="709">
        <f t="shared" si="46"/>
        <v>23826.12</v>
      </c>
      <c r="H209" s="710"/>
      <c r="I209" s="719">
        <v>41387</v>
      </c>
      <c r="J209" s="708">
        <v>19.309999999999999</v>
      </c>
      <c r="K209" s="711">
        <f t="shared" si="47"/>
        <v>24446.46</v>
      </c>
      <c r="L209" s="713">
        <f>SUM(G209-K209)</f>
        <v>-620.34000000000015</v>
      </c>
      <c r="M209" s="712">
        <v>1</v>
      </c>
      <c r="N209" s="812">
        <f t="shared" si="45"/>
        <v>-620.34000000000015</v>
      </c>
      <c r="O209" s="706"/>
    </row>
    <row r="210" spans="1:15" s="548" customFormat="1" ht="15" customHeight="1">
      <c r="A210" s="696" t="s">
        <v>1140</v>
      </c>
      <c r="B210" s="613" t="s">
        <v>1141</v>
      </c>
      <c r="C210" s="613" t="s">
        <v>78</v>
      </c>
      <c r="D210" s="707">
        <v>41372</v>
      </c>
      <c r="E210" s="696">
        <v>659</v>
      </c>
      <c r="F210" s="708">
        <v>58.71</v>
      </c>
      <c r="G210" s="709">
        <f t="shared" si="46"/>
        <v>38689.89</v>
      </c>
      <c r="H210" s="710"/>
      <c r="I210" s="719">
        <v>41388</v>
      </c>
      <c r="J210" s="708">
        <v>60.42</v>
      </c>
      <c r="K210" s="711">
        <f t="shared" si="47"/>
        <v>39816.78</v>
      </c>
      <c r="L210" s="713">
        <f>SUM(G210-K210)</f>
        <v>-1126.8899999999994</v>
      </c>
      <c r="M210" s="712">
        <v>1</v>
      </c>
      <c r="N210" s="812">
        <f t="shared" si="45"/>
        <v>-1126.8899999999994</v>
      </c>
      <c r="O210" s="706"/>
    </row>
    <row r="211" spans="1:15" s="548" customFormat="1" ht="15" customHeight="1">
      <c r="A211" s="696" t="s">
        <v>1158</v>
      </c>
      <c r="B211" s="613" t="s">
        <v>1159</v>
      </c>
      <c r="C211" s="613" t="s">
        <v>78</v>
      </c>
      <c r="D211" s="707">
        <v>41381</v>
      </c>
      <c r="E211" s="696">
        <v>3178</v>
      </c>
      <c r="F211" s="708">
        <v>11.52</v>
      </c>
      <c r="G211" s="709">
        <f t="shared" si="46"/>
        <v>36610.559999999998</v>
      </c>
      <c r="H211" s="710"/>
      <c r="I211" s="719">
        <v>41389</v>
      </c>
      <c r="J211" s="708">
        <v>12.22</v>
      </c>
      <c r="K211" s="711">
        <f t="shared" si="47"/>
        <v>38835.160000000003</v>
      </c>
      <c r="L211" s="713">
        <f>SUM(G211-K211)</f>
        <v>-2224.6000000000058</v>
      </c>
      <c r="M211" s="712">
        <v>1</v>
      </c>
      <c r="N211" s="812">
        <f t="shared" si="45"/>
        <v>-2224.6000000000058</v>
      </c>
      <c r="O211" s="706"/>
    </row>
    <row r="212" spans="1:15" s="546" customFormat="1" ht="15" customHeight="1">
      <c r="A212" s="690" t="s">
        <v>1133</v>
      </c>
      <c r="B212" s="614" t="s">
        <v>1138</v>
      </c>
      <c r="C212" s="614" t="s">
        <v>53</v>
      </c>
      <c r="D212" s="697">
        <v>41366</v>
      </c>
      <c r="E212" s="698">
        <v>1098</v>
      </c>
      <c r="F212" s="699">
        <v>78.680000000000007</v>
      </c>
      <c r="G212" s="700">
        <f t="shared" si="46"/>
        <v>86390.640000000014</v>
      </c>
      <c r="H212" s="701"/>
      <c r="I212" s="702">
        <v>41389</v>
      </c>
      <c r="J212" s="699">
        <v>76.86</v>
      </c>
      <c r="K212" s="703">
        <f t="shared" si="47"/>
        <v>84392.28</v>
      </c>
      <c r="L212" s="704">
        <f t="shared" ref="L212:L223" si="48">SUM(K212-G212)</f>
        <v>-1998.3600000000151</v>
      </c>
      <c r="M212" s="712">
        <v>1</v>
      </c>
      <c r="N212" s="813">
        <f t="shared" si="45"/>
        <v>-1998.3600000000151</v>
      </c>
      <c r="O212" s="718"/>
    </row>
    <row r="213" spans="1:15" s="548" customFormat="1" ht="15" customHeight="1">
      <c r="A213" s="698" t="s">
        <v>864</v>
      </c>
      <c r="B213" s="614" t="s">
        <v>865</v>
      </c>
      <c r="C213" s="614" t="s">
        <v>53</v>
      </c>
      <c r="D213" s="697">
        <v>41283</v>
      </c>
      <c r="E213" s="698">
        <v>1219</v>
      </c>
      <c r="F213" s="699">
        <v>26.5</v>
      </c>
      <c r="G213" s="700">
        <f t="shared" si="46"/>
        <v>32303.5</v>
      </c>
      <c r="H213" s="701"/>
      <c r="I213" s="702">
        <v>41390</v>
      </c>
      <c r="J213" s="699">
        <v>29.23</v>
      </c>
      <c r="K213" s="703">
        <f t="shared" si="47"/>
        <v>35631.370000000003</v>
      </c>
      <c r="L213" s="704">
        <f t="shared" si="48"/>
        <v>3327.8700000000026</v>
      </c>
      <c r="M213" s="712">
        <v>1</v>
      </c>
      <c r="N213" s="813">
        <f>SUM(K213-G213)*M213</f>
        <v>3327.8700000000026</v>
      </c>
      <c r="O213" s="706"/>
    </row>
    <row r="214" spans="1:15" s="548" customFormat="1" ht="15" customHeight="1">
      <c r="A214" s="698" t="s">
        <v>654</v>
      </c>
      <c r="B214" s="614" t="s">
        <v>655</v>
      </c>
      <c r="C214" s="614" t="s">
        <v>53</v>
      </c>
      <c r="D214" s="697">
        <v>41284</v>
      </c>
      <c r="E214" s="698">
        <v>1315</v>
      </c>
      <c r="F214" s="699">
        <v>34.97</v>
      </c>
      <c r="G214" s="700">
        <f t="shared" si="46"/>
        <v>45985.549999999996</v>
      </c>
      <c r="H214" s="701"/>
      <c r="I214" s="702">
        <v>41390</v>
      </c>
      <c r="J214" s="699">
        <v>38.770000000000003</v>
      </c>
      <c r="K214" s="703">
        <f t="shared" si="47"/>
        <v>50982.55</v>
      </c>
      <c r="L214" s="704">
        <f t="shared" si="48"/>
        <v>4997.0000000000073</v>
      </c>
      <c r="M214" s="712">
        <v>1</v>
      </c>
      <c r="N214" s="813">
        <f>SUM(K214-G214)*M214</f>
        <v>4997.0000000000073</v>
      </c>
      <c r="O214" s="706"/>
    </row>
    <row r="215" spans="1:15" s="546" customFormat="1" ht="15" customHeight="1">
      <c r="A215" s="690" t="s">
        <v>535</v>
      </c>
      <c r="B215" s="614" t="s">
        <v>536</v>
      </c>
      <c r="C215" s="614" t="s">
        <v>53</v>
      </c>
      <c r="D215" s="697">
        <v>41339</v>
      </c>
      <c r="E215" s="698">
        <v>532</v>
      </c>
      <c r="F215" s="699">
        <v>64.83</v>
      </c>
      <c r="G215" s="700">
        <f t="shared" si="46"/>
        <v>34489.56</v>
      </c>
      <c r="H215" s="701"/>
      <c r="I215" s="702">
        <v>41390</v>
      </c>
      <c r="J215" s="699">
        <v>64.03</v>
      </c>
      <c r="K215" s="703">
        <f t="shared" si="47"/>
        <v>34063.96</v>
      </c>
      <c r="L215" s="704">
        <f t="shared" si="48"/>
        <v>-425.59999999999854</v>
      </c>
      <c r="M215" s="712">
        <v>1</v>
      </c>
      <c r="N215" s="813">
        <f>SUM(L215*M215)</f>
        <v>-425.59999999999854</v>
      </c>
      <c r="O215" s="718"/>
    </row>
    <row r="216" spans="1:15" s="546" customFormat="1" ht="15" customHeight="1">
      <c r="A216" s="690" t="s">
        <v>1082</v>
      </c>
      <c r="B216" s="614" t="s">
        <v>1083</v>
      </c>
      <c r="C216" s="614" t="s">
        <v>53</v>
      </c>
      <c r="D216" s="697">
        <v>41339</v>
      </c>
      <c r="E216" s="698">
        <v>746</v>
      </c>
      <c r="F216" s="699">
        <v>37.86</v>
      </c>
      <c r="G216" s="700">
        <f t="shared" si="46"/>
        <v>28243.56</v>
      </c>
      <c r="H216" s="701"/>
      <c r="I216" s="702">
        <v>41394</v>
      </c>
      <c r="J216" s="699">
        <v>39.21</v>
      </c>
      <c r="K216" s="703">
        <f t="shared" si="47"/>
        <v>29250.66</v>
      </c>
      <c r="L216" s="704">
        <f t="shared" si="48"/>
        <v>1007.0999999999985</v>
      </c>
      <c r="M216" s="712">
        <v>1</v>
      </c>
      <c r="N216" s="813">
        <f>SUM(L216*M216)</f>
        <v>1007.0999999999985</v>
      </c>
      <c r="O216" s="718"/>
    </row>
    <row r="217" spans="1:15" s="548" customFormat="1" ht="15" customHeight="1">
      <c r="A217" s="698" t="s">
        <v>858</v>
      </c>
      <c r="B217" s="614" t="s">
        <v>859</v>
      </c>
      <c r="C217" s="614" t="s">
        <v>53</v>
      </c>
      <c r="D217" s="697">
        <v>41250</v>
      </c>
      <c r="E217" s="698">
        <v>128</v>
      </c>
      <c r="F217" s="699">
        <v>195.89</v>
      </c>
      <c r="G217" s="700">
        <f t="shared" ref="G217:G253" si="49">SUM(E217*F217)</f>
        <v>25073.919999999998</v>
      </c>
      <c r="H217" s="701"/>
      <c r="I217" s="702">
        <v>41400</v>
      </c>
      <c r="J217" s="720">
        <v>229.6</v>
      </c>
      <c r="K217" s="703">
        <f t="shared" ref="K217:K250" si="50">SUM(E217*J217)</f>
        <v>29388.799999999999</v>
      </c>
      <c r="L217" s="704">
        <f t="shared" si="48"/>
        <v>4314.880000000001</v>
      </c>
      <c r="M217" s="712">
        <v>1</v>
      </c>
      <c r="N217" s="813">
        <f>SUM(K217-G217)*M217</f>
        <v>4314.880000000001</v>
      </c>
      <c r="O217" s="706"/>
    </row>
    <row r="218" spans="1:15" s="548" customFormat="1" ht="15" customHeight="1">
      <c r="A218" s="690" t="s">
        <v>1056</v>
      </c>
      <c r="B218" s="614" t="s">
        <v>506</v>
      </c>
      <c r="C218" s="614" t="s">
        <v>53</v>
      </c>
      <c r="D218" s="697">
        <v>41333</v>
      </c>
      <c r="E218" s="698">
        <v>1369</v>
      </c>
      <c r="F218" s="699">
        <v>28.74</v>
      </c>
      <c r="G218" s="700">
        <f t="shared" si="49"/>
        <v>39345.06</v>
      </c>
      <c r="H218" s="701"/>
      <c r="I218" s="697">
        <v>41400</v>
      </c>
      <c r="J218" s="614">
        <v>30.79</v>
      </c>
      <c r="K218" s="703">
        <f t="shared" si="50"/>
        <v>42151.51</v>
      </c>
      <c r="L218" s="704">
        <f t="shared" si="48"/>
        <v>2806.4500000000044</v>
      </c>
      <c r="M218" s="712">
        <v>1</v>
      </c>
      <c r="N218" s="813">
        <f>SUM(L218*M218)</f>
        <v>2806.4500000000044</v>
      </c>
      <c r="O218" s="706"/>
    </row>
    <row r="219" spans="1:15" s="548" customFormat="1" ht="15" customHeight="1">
      <c r="A219" s="698" t="s">
        <v>854</v>
      </c>
      <c r="B219" s="614" t="s">
        <v>855</v>
      </c>
      <c r="C219" s="614" t="s">
        <v>53</v>
      </c>
      <c r="D219" s="697">
        <v>41177</v>
      </c>
      <c r="E219" s="698">
        <v>253</v>
      </c>
      <c r="F219" s="699">
        <v>61.54</v>
      </c>
      <c r="G219" s="700">
        <f t="shared" si="49"/>
        <v>15569.619999999999</v>
      </c>
      <c r="H219" s="701"/>
      <c r="I219" s="702">
        <v>41401</v>
      </c>
      <c r="J219" s="699">
        <v>70.25</v>
      </c>
      <c r="K219" s="703">
        <f t="shared" si="50"/>
        <v>17773.25</v>
      </c>
      <c r="L219" s="704">
        <f t="shared" si="48"/>
        <v>2203.630000000001</v>
      </c>
      <c r="M219" s="712">
        <v>1</v>
      </c>
      <c r="N219" s="813">
        <f>SUM(K219-G219)*M219</f>
        <v>2203.630000000001</v>
      </c>
      <c r="O219" s="706"/>
    </row>
    <row r="220" spans="1:15" s="548" customFormat="1" ht="15" customHeight="1">
      <c r="A220" s="690" t="s">
        <v>1116</v>
      </c>
      <c r="B220" s="614" t="s">
        <v>855</v>
      </c>
      <c r="C220" s="614" t="s">
        <v>53</v>
      </c>
      <c r="D220" s="697">
        <v>41355</v>
      </c>
      <c r="E220" s="698">
        <v>714</v>
      </c>
      <c r="F220" s="699">
        <v>70.39</v>
      </c>
      <c r="G220" s="700">
        <f t="shared" si="49"/>
        <v>50258.46</v>
      </c>
      <c r="H220" s="701"/>
      <c r="I220" s="697">
        <v>41401</v>
      </c>
      <c r="J220" s="614">
        <v>67.66</v>
      </c>
      <c r="K220" s="703">
        <f t="shared" si="50"/>
        <v>48309.24</v>
      </c>
      <c r="L220" s="704">
        <f t="shared" si="48"/>
        <v>-1949.2200000000012</v>
      </c>
      <c r="M220" s="712">
        <v>1</v>
      </c>
      <c r="N220" s="813">
        <f>SUM(L220*M220)</f>
        <v>-1949.2200000000012</v>
      </c>
      <c r="O220" s="706"/>
    </row>
    <row r="221" spans="1:15" s="548" customFormat="1" ht="15" customHeight="1">
      <c r="A221" s="690" t="s">
        <v>1017</v>
      </c>
      <c r="B221" s="614" t="s">
        <v>512</v>
      </c>
      <c r="C221" s="614" t="s">
        <v>53</v>
      </c>
      <c r="D221" s="697">
        <v>41325</v>
      </c>
      <c r="E221" s="698">
        <v>847</v>
      </c>
      <c r="F221" s="699">
        <v>41.45</v>
      </c>
      <c r="G221" s="700">
        <f t="shared" si="49"/>
        <v>35108.15</v>
      </c>
      <c r="H221" s="701"/>
      <c r="I221" s="697">
        <v>41403</v>
      </c>
      <c r="J221" s="614">
        <v>44.16</v>
      </c>
      <c r="K221" s="703">
        <f t="shared" si="50"/>
        <v>37403.519999999997</v>
      </c>
      <c r="L221" s="704">
        <f t="shared" si="48"/>
        <v>2295.3699999999953</v>
      </c>
      <c r="M221" s="712">
        <v>1</v>
      </c>
      <c r="N221" s="813">
        <f>SUM(L221*M221)</f>
        <v>2295.3699999999953</v>
      </c>
      <c r="O221" s="706"/>
    </row>
    <row r="222" spans="1:15" s="547" customFormat="1" ht="15" customHeight="1">
      <c r="A222" s="690" t="s">
        <v>1059</v>
      </c>
      <c r="B222" s="614" t="s">
        <v>1057</v>
      </c>
      <c r="C222" s="614" t="s">
        <v>53</v>
      </c>
      <c r="D222" s="697">
        <v>41333</v>
      </c>
      <c r="E222" s="698">
        <v>1351</v>
      </c>
      <c r="F222" s="699">
        <v>27.52</v>
      </c>
      <c r="G222" s="700">
        <f t="shared" si="49"/>
        <v>37179.519999999997</v>
      </c>
      <c r="H222" s="701"/>
      <c r="I222" s="697">
        <v>41403</v>
      </c>
      <c r="J222" s="614">
        <v>29.17</v>
      </c>
      <c r="K222" s="703">
        <f t="shared" si="50"/>
        <v>39408.670000000006</v>
      </c>
      <c r="L222" s="704">
        <f t="shared" si="48"/>
        <v>2229.1500000000087</v>
      </c>
      <c r="M222" s="712">
        <v>1</v>
      </c>
      <c r="N222" s="813">
        <f>SUM(L222*M222)</f>
        <v>2229.1500000000087</v>
      </c>
      <c r="O222" s="612"/>
    </row>
    <row r="223" spans="1:15" s="546" customFormat="1" ht="15" customHeight="1">
      <c r="A223" s="698" t="s">
        <v>588</v>
      </c>
      <c r="B223" s="614" t="s">
        <v>589</v>
      </c>
      <c r="C223" s="614" t="s">
        <v>53</v>
      </c>
      <c r="D223" s="697">
        <v>41296</v>
      </c>
      <c r="E223" s="698">
        <v>1351</v>
      </c>
      <c r="F223" s="699">
        <v>25.35</v>
      </c>
      <c r="G223" s="700">
        <f t="shared" si="49"/>
        <v>34247.85</v>
      </c>
      <c r="H223" s="701"/>
      <c r="I223" s="702">
        <v>41404</v>
      </c>
      <c r="J223" s="720">
        <v>28.31</v>
      </c>
      <c r="K223" s="703">
        <f t="shared" si="50"/>
        <v>38246.81</v>
      </c>
      <c r="L223" s="704">
        <f t="shared" si="48"/>
        <v>3998.9599999999991</v>
      </c>
      <c r="M223" s="712">
        <v>1</v>
      </c>
      <c r="N223" s="813">
        <f>SUM(K223-G223)*M223</f>
        <v>3998.9599999999991</v>
      </c>
      <c r="O223" s="718"/>
    </row>
    <row r="224" spans="1:15" s="548" customFormat="1" ht="15" customHeight="1">
      <c r="A224" s="696" t="s">
        <v>1161</v>
      </c>
      <c r="B224" s="613" t="s">
        <v>1160</v>
      </c>
      <c r="C224" s="613" t="s">
        <v>78</v>
      </c>
      <c r="D224" s="707">
        <v>41379</v>
      </c>
      <c r="E224" s="696">
        <v>1794</v>
      </c>
      <c r="F224" s="708">
        <v>36.83</v>
      </c>
      <c r="G224" s="709">
        <f t="shared" si="49"/>
        <v>66073.02</v>
      </c>
      <c r="H224" s="710"/>
      <c r="I224" s="707">
        <v>41404</v>
      </c>
      <c r="J224" s="613">
        <v>38.07</v>
      </c>
      <c r="K224" s="711">
        <f t="shared" si="50"/>
        <v>68297.58</v>
      </c>
      <c r="L224" s="713">
        <f>SUM(G224-K224)</f>
        <v>-2224.5599999999977</v>
      </c>
      <c r="M224" s="712">
        <v>1</v>
      </c>
      <c r="N224" s="812">
        <f>SUM(L224*M224)</f>
        <v>-2224.5599999999977</v>
      </c>
      <c r="O224" s="706"/>
    </row>
    <row r="225" spans="1:15" s="546" customFormat="1" ht="15" customHeight="1">
      <c r="A225" s="696" t="s">
        <v>1137</v>
      </c>
      <c r="B225" s="613" t="s">
        <v>1136</v>
      </c>
      <c r="C225" s="613" t="s">
        <v>78</v>
      </c>
      <c r="D225" s="707">
        <v>41368</v>
      </c>
      <c r="E225" s="696">
        <v>548</v>
      </c>
      <c r="F225" s="708">
        <v>55.26</v>
      </c>
      <c r="G225" s="709">
        <f t="shared" si="49"/>
        <v>30282.48</v>
      </c>
      <c r="H225" s="710"/>
      <c r="I225" s="707">
        <v>41410</v>
      </c>
      <c r="J225" s="613">
        <v>56.39</v>
      </c>
      <c r="K225" s="711">
        <f t="shared" si="50"/>
        <v>30901.72</v>
      </c>
      <c r="L225" s="713">
        <f>SUM(G225-K225)</f>
        <v>-619.2400000000016</v>
      </c>
      <c r="M225" s="712">
        <v>1</v>
      </c>
      <c r="N225" s="812">
        <f>SUM(L225*M225)</f>
        <v>-619.2400000000016</v>
      </c>
      <c r="O225" s="718"/>
    </row>
    <row r="226" spans="1:15" s="546" customFormat="1" ht="15" customHeight="1">
      <c r="A226" s="690" t="s">
        <v>600</v>
      </c>
      <c r="B226" s="614" t="s">
        <v>601</v>
      </c>
      <c r="C226" s="614" t="s">
        <v>53</v>
      </c>
      <c r="D226" s="697">
        <v>41353</v>
      </c>
      <c r="E226" s="698">
        <v>588</v>
      </c>
      <c r="F226" s="699">
        <v>70.400000000000006</v>
      </c>
      <c r="G226" s="700">
        <f t="shared" si="49"/>
        <v>41395.200000000004</v>
      </c>
      <c r="H226" s="701"/>
      <c r="I226" s="697">
        <v>41411</v>
      </c>
      <c r="J226" s="614">
        <v>71.05</v>
      </c>
      <c r="K226" s="703">
        <f t="shared" si="50"/>
        <v>41777.4</v>
      </c>
      <c r="L226" s="704">
        <f t="shared" ref="L226:L250" si="51">SUM(K226-G226)</f>
        <v>382.19999999999709</v>
      </c>
      <c r="M226" s="712">
        <v>1</v>
      </c>
      <c r="N226" s="813">
        <f>SUM(L226*M226)</f>
        <v>382.19999999999709</v>
      </c>
      <c r="O226" s="718"/>
    </row>
    <row r="227" spans="1:15" s="546" customFormat="1" ht="15" customHeight="1">
      <c r="A227" s="698" t="s">
        <v>866</v>
      </c>
      <c r="B227" s="614" t="s">
        <v>867</v>
      </c>
      <c r="C227" s="614" t="s">
        <v>53</v>
      </c>
      <c r="D227" s="697">
        <v>41292</v>
      </c>
      <c r="E227" s="698">
        <v>1041</v>
      </c>
      <c r="F227" s="699">
        <v>41.42</v>
      </c>
      <c r="G227" s="700">
        <f t="shared" si="49"/>
        <v>43118.22</v>
      </c>
      <c r="H227" s="701"/>
      <c r="I227" s="702">
        <v>41417</v>
      </c>
      <c r="J227" s="720">
        <v>45.95</v>
      </c>
      <c r="K227" s="703">
        <f t="shared" si="50"/>
        <v>47833.950000000004</v>
      </c>
      <c r="L227" s="704">
        <f t="shared" si="51"/>
        <v>4715.7300000000032</v>
      </c>
      <c r="M227" s="712">
        <v>1</v>
      </c>
      <c r="N227" s="813">
        <f>SUM(K227-G227)*M227</f>
        <v>4715.7300000000032</v>
      </c>
      <c r="O227" s="718"/>
    </row>
    <row r="228" spans="1:15" s="546" customFormat="1" ht="15" customHeight="1">
      <c r="A228" s="698" t="s">
        <v>852</v>
      </c>
      <c r="B228" s="614" t="s">
        <v>853</v>
      </c>
      <c r="C228" s="614" t="s">
        <v>53</v>
      </c>
      <c r="D228" s="697">
        <v>41163</v>
      </c>
      <c r="E228" s="698">
        <v>1052</v>
      </c>
      <c r="F228" s="699">
        <v>66.25</v>
      </c>
      <c r="G228" s="700">
        <f t="shared" si="49"/>
        <v>69695</v>
      </c>
      <c r="H228" s="701"/>
      <c r="I228" s="702">
        <v>41437</v>
      </c>
      <c r="J228" s="720">
        <v>81.63</v>
      </c>
      <c r="K228" s="703">
        <f t="shared" si="50"/>
        <v>85874.76</v>
      </c>
      <c r="L228" s="704">
        <f t="shared" si="51"/>
        <v>16179.759999999995</v>
      </c>
      <c r="M228" s="712">
        <v>1</v>
      </c>
      <c r="N228" s="813">
        <f>SUM(K228-G228)*M228</f>
        <v>16179.759999999995</v>
      </c>
      <c r="O228" s="718"/>
    </row>
    <row r="229" spans="1:15" s="546" customFormat="1" ht="15" customHeight="1">
      <c r="A229" s="698" t="s">
        <v>873</v>
      </c>
      <c r="B229" s="614" t="s">
        <v>874</v>
      </c>
      <c r="C229" s="614" t="s">
        <v>53</v>
      </c>
      <c r="D229" s="697">
        <v>41299</v>
      </c>
      <c r="E229" s="698">
        <v>163</v>
      </c>
      <c r="F229" s="699">
        <v>170.15</v>
      </c>
      <c r="G229" s="700">
        <f t="shared" si="49"/>
        <v>27734.45</v>
      </c>
      <c r="H229" s="717"/>
      <c r="I229" s="702">
        <v>41445</v>
      </c>
      <c r="J229" s="720">
        <v>165.39</v>
      </c>
      <c r="K229" s="703">
        <f t="shared" si="50"/>
        <v>26958.569999999996</v>
      </c>
      <c r="L229" s="704">
        <f t="shared" si="51"/>
        <v>-775.88000000000466</v>
      </c>
      <c r="M229" s="712">
        <v>1</v>
      </c>
      <c r="N229" s="813">
        <f>SUM(K229-G229)*M229</f>
        <v>-775.88000000000466</v>
      </c>
      <c r="O229" s="718"/>
    </row>
    <row r="230" spans="1:15" s="546" customFormat="1" ht="15" customHeight="1">
      <c r="A230" s="690" t="s">
        <v>602</v>
      </c>
      <c r="B230" s="614" t="s">
        <v>603</v>
      </c>
      <c r="C230" s="614" t="s">
        <v>53</v>
      </c>
      <c r="D230" s="697">
        <v>41305</v>
      </c>
      <c r="E230" s="698">
        <v>625</v>
      </c>
      <c r="F230" s="699">
        <v>63.36</v>
      </c>
      <c r="G230" s="700">
        <f t="shared" si="49"/>
        <v>39600</v>
      </c>
      <c r="H230" s="701"/>
      <c r="I230" s="702">
        <v>41417</v>
      </c>
      <c r="J230" s="720">
        <v>68.78</v>
      </c>
      <c r="K230" s="703">
        <f t="shared" si="50"/>
        <v>42987.5</v>
      </c>
      <c r="L230" s="704">
        <f t="shared" si="51"/>
        <v>3387.5</v>
      </c>
      <c r="M230" s="712">
        <v>1</v>
      </c>
      <c r="N230" s="813">
        <f t="shared" ref="N230:N250" si="52">SUM(L230*M230)</f>
        <v>3387.5</v>
      </c>
      <c r="O230" s="718"/>
    </row>
    <row r="231" spans="1:15" s="546" customFormat="1" ht="15" customHeight="1">
      <c r="A231" s="690" t="s">
        <v>527</v>
      </c>
      <c r="B231" s="614" t="s">
        <v>528</v>
      </c>
      <c r="C231" s="614" t="s">
        <v>53</v>
      </c>
      <c r="D231" s="697">
        <v>41306</v>
      </c>
      <c r="E231" s="698">
        <v>581</v>
      </c>
      <c r="F231" s="699">
        <v>73.2</v>
      </c>
      <c r="G231" s="700">
        <f t="shared" si="49"/>
        <v>42529.200000000004</v>
      </c>
      <c r="H231" s="701"/>
      <c r="I231" s="702">
        <v>41446</v>
      </c>
      <c r="J231" s="720">
        <v>75.78</v>
      </c>
      <c r="K231" s="703">
        <f t="shared" si="50"/>
        <v>44028.18</v>
      </c>
      <c r="L231" s="704">
        <f t="shared" si="51"/>
        <v>1498.9799999999959</v>
      </c>
      <c r="M231" s="712">
        <v>1</v>
      </c>
      <c r="N231" s="813">
        <f t="shared" si="52"/>
        <v>1498.9799999999959</v>
      </c>
      <c r="O231" s="718"/>
    </row>
    <row r="232" spans="1:15" s="546" customFormat="1" ht="15" customHeight="1">
      <c r="A232" s="690" t="s">
        <v>662</v>
      </c>
      <c r="B232" s="614" t="s">
        <v>663</v>
      </c>
      <c r="C232" s="614" t="s">
        <v>53</v>
      </c>
      <c r="D232" s="697">
        <v>41312</v>
      </c>
      <c r="E232" s="698">
        <v>1000</v>
      </c>
      <c r="F232" s="699">
        <v>42.38</v>
      </c>
      <c r="G232" s="700">
        <f t="shared" si="49"/>
        <v>42380</v>
      </c>
      <c r="H232" s="701"/>
      <c r="I232" s="697">
        <v>41417</v>
      </c>
      <c r="J232" s="614">
        <v>48.35</v>
      </c>
      <c r="K232" s="703">
        <f t="shared" si="50"/>
        <v>48350</v>
      </c>
      <c r="L232" s="704">
        <f t="shared" si="51"/>
        <v>5970</v>
      </c>
      <c r="M232" s="712">
        <v>1</v>
      </c>
      <c r="N232" s="813">
        <f t="shared" si="52"/>
        <v>5970</v>
      </c>
      <c r="O232" s="718"/>
    </row>
    <row r="233" spans="1:15" s="546" customFormat="1" ht="15" customHeight="1">
      <c r="A233" s="690" t="s">
        <v>965</v>
      </c>
      <c r="B233" s="614" t="s">
        <v>559</v>
      </c>
      <c r="C233" s="614" t="s">
        <v>53</v>
      </c>
      <c r="D233" s="697">
        <v>41313</v>
      </c>
      <c r="E233" s="698">
        <v>1000</v>
      </c>
      <c r="F233" s="699">
        <v>37.659999999999997</v>
      </c>
      <c r="G233" s="700">
        <f t="shared" si="49"/>
        <v>37660</v>
      </c>
      <c r="H233" s="701"/>
      <c r="I233" s="697">
        <v>41423</v>
      </c>
      <c r="J233" s="614">
        <v>45.09</v>
      </c>
      <c r="K233" s="703">
        <f t="shared" si="50"/>
        <v>45090</v>
      </c>
      <c r="L233" s="704">
        <f t="shared" si="51"/>
        <v>7430</v>
      </c>
      <c r="M233" s="712">
        <v>1</v>
      </c>
      <c r="N233" s="813">
        <f t="shared" si="52"/>
        <v>7430</v>
      </c>
      <c r="O233" s="718"/>
    </row>
    <row r="234" spans="1:15" s="546" customFormat="1" ht="15" customHeight="1">
      <c r="A234" s="690" t="s">
        <v>1002</v>
      </c>
      <c r="B234" s="614" t="s">
        <v>1001</v>
      </c>
      <c r="C234" s="614" t="s">
        <v>53</v>
      </c>
      <c r="D234" s="697">
        <v>41320</v>
      </c>
      <c r="E234" s="698">
        <v>1612</v>
      </c>
      <c r="F234" s="699">
        <v>12.56</v>
      </c>
      <c r="G234" s="700">
        <f t="shared" si="49"/>
        <v>20246.72</v>
      </c>
      <c r="H234" s="701"/>
      <c r="I234" s="697">
        <v>41417</v>
      </c>
      <c r="J234" s="614">
        <v>14.22</v>
      </c>
      <c r="K234" s="703">
        <f t="shared" si="50"/>
        <v>22922.639999999999</v>
      </c>
      <c r="L234" s="704">
        <f t="shared" si="51"/>
        <v>2675.9199999999983</v>
      </c>
      <c r="M234" s="712">
        <v>1</v>
      </c>
      <c r="N234" s="813">
        <f t="shared" si="52"/>
        <v>2675.9199999999983</v>
      </c>
      <c r="O234" s="718"/>
    </row>
    <row r="235" spans="1:15" s="546" customFormat="1" ht="15" customHeight="1">
      <c r="A235" s="690" t="s">
        <v>1003</v>
      </c>
      <c r="B235" s="614" t="s">
        <v>1004</v>
      </c>
      <c r="C235" s="614" t="s">
        <v>53</v>
      </c>
      <c r="D235" s="697">
        <v>41320</v>
      </c>
      <c r="E235" s="698">
        <v>1250</v>
      </c>
      <c r="F235" s="699">
        <v>23.82</v>
      </c>
      <c r="G235" s="700">
        <f t="shared" si="49"/>
        <v>29775</v>
      </c>
      <c r="H235" s="701"/>
      <c r="I235" s="697">
        <v>41430</v>
      </c>
      <c r="J235" s="614">
        <v>24.81</v>
      </c>
      <c r="K235" s="703">
        <f t="shared" si="50"/>
        <v>31012.5</v>
      </c>
      <c r="L235" s="704">
        <f t="shared" si="51"/>
        <v>1237.5</v>
      </c>
      <c r="M235" s="712">
        <v>1</v>
      </c>
      <c r="N235" s="813">
        <f t="shared" si="52"/>
        <v>1237.5</v>
      </c>
      <c r="O235" s="718"/>
    </row>
    <row r="236" spans="1:15" s="546" customFormat="1" ht="15" customHeight="1">
      <c r="A236" s="690" t="s">
        <v>583</v>
      </c>
      <c r="B236" s="614" t="s">
        <v>584</v>
      </c>
      <c r="C236" s="614" t="s">
        <v>53</v>
      </c>
      <c r="D236" s="697">
        <v>41320</v>
      </c>
      <c r="E236" s="698">
        <v>682</v>
      </c>
      <c r="F236" s="699">
        <v>91.54</v>
      </c>
      <c r="G236" s="700">
        <f t="shared" si="49"/>
        <v>62430.280000000006</v>
      </c>
      <c r="H236" s="701"/>
      <c r="I236" s="697">
        <v>41431</v>
      </c>
      <c r="J236" s="614">
        <v>99.6</v>
      </c>
      <c r="K236" s="703">
        <f t="shared" si="50"/>
        <v>67927.199999999997</v>
      </c>
      <c r="L236" s="704">
        <f t="shared" si="51"/>
        <v>5496.919999999991</v>
      </c>
      <c r="M236" s="712">
        <v>1</v>
      </c>
      <c r="N236" s="813">
        <f t="shared" si="52"/>
        <v>5496.919999999991</v>
      </c>
      <c r="O236" s="718"/>
    </row>
    <row r="237" spans="1:15" s="546" customFormat="1" ht="15" customHeight="1">
      <c r="A237" s="690" t="s">
        <v>1015</v>
      </c>
      <c r="B237" s="614" t="s">
        <v>1016</v>
      </c>
      <c r="C237" s="614" t="s">
        <v>53</v>
      </c>
      <c r="D237" s="697">
        <v>41325</v>
      </c>
      <c r="E237" s="698">
        <v>746</v>
      </c>
      <c r="F237" s="699">
        <v>56.29</v>
      </c>
      <c r="G237" s="700">
        <f t="shared" si="49"/>
        <v>41992.34</v>
      </c>
      <c r="H237" s="701"/>
      <c r="I237" s="697">
        <v>41417</v>
      </c>
      <c r="J237" s="614">
        <v>58.13</v>
      </c>
      <c r="K237" s="703">
        <f t="shared" si="50"/>
        <v>43364.98</v>
      </c>
      <c r="L237" s="704">
        <f t="shared" si="51"/>
        <v>1372.6400000000067</v>
      </c>
      <c r="M237" s="712">
        <v>1</v>
      </c>
      <c r="N237" s="813">
        <f t="shared" si="52"/>
        <v>1372.6400000000067</v>
      </c>
      <c r="O237" s="718"/>
    </row>
    <row r="238" spans="1:15" s="546" customFormat="1" ht="15" customHeight="1">
      <c r="A238" s="690" t="s">
        <v>1014</v>
      </c>
      <c r="B238" s="614" t="s">
        <v>79</v>
      </c>
      <c r="C238" s="614" t="s">
        <v>53</v>
      </c>
      <c r="D238" s="697">
        <v>41325</v>
      </c>
      <c r="E238" s="698">
        <v>1072</v>
      </c>
      <c r="F238" s="699">
        <v>56.18</v>
      </c>
      <c r="G238" s="700">
        <f t="shared" si="49"/>
        <v>60224.959999999999</v>
      </c>
      <c r="H238" s="701"/>
      <c r="I238" s="697">
        <v>41425</v>
      </c>
      <c r="J238" s="614">
        <v>59.78</v>
      </c>
      <c r="K238" s="703">
        <f t="shared" si="50"/>
        <v>64084.160000000003</v>
      </c>
      <c r="L238" s="704">
        <f t="shared" si="51"/>
        <v>3859.2000000000044</v>
      </c>
      <c r="M238" s="712">
        <v>1</v>
      </c>
      <c r="N238" s="813">
        <f t="shared" si="52"/>
        <v>3859.2000000000044</v>
      </c>
      <c r="O238" s="718"/>
    </row>
    <row r="239" spans="1:15" s="546" customFormat="1" ht="15" customHeight="1">
      <c r="A239" s="690" t="s">
        <v>1031</v>
      </c>
      <c r="B239" s="614" t="s">
        <v>1032</v>
      </c>
      <c r="C239" s="614" t="s">
        <v>53</v>
      </c>
      <c r="D239" s="697">
        <v>41326</v>
      </c>
      <c r="E239" s="698">
        <v>543</v>
      </c>
      <c r="F239" s="699">
        <v>73.14</v>
      </c>
      <c r="G239" s="700">
        <f t="shared" si="49"/>
        <v>39715.019999999997</v>
      </c>
      <c r="H239" s="701"/>
      <c r="I239" s="697">
        <v>41417</v>
      </c>
      <c r="J239" s="614">
        <v>78.05</v>
      </c>
      <c r="K239" s="703">
        <f t="shared" si="50"/>
        <v>42381.15</v>
      </c>
      <c r="L239" s="704">
        <f t="shared" si="51"/>
        <v>2666.1300000000047</v>
      </c>
      <c r="M239" s="712">
        <v>1</v>
      </c>
      <c r="N239" s="813">
        <f t="shared" si="52"/>
        <v>2666.1300000000047</v>
      </c>
      <c r="O239" s="718"/>
    </row>
    <row r="240" spans="1:15" s="546" customFormat="1" ht="15" customHeight="1">
      <c r="A240" s="690" t="s">
        <v>1055</v>
      </c>
      <c r="B240" s="614" t="s">
        <v>1054</v>
      </c>
      <c r="C240" s="614" t="s">
        <v>53</v>
      </c>
      <c r="D240" s="697">
        <v>41332</v>
      </c>
      <c r="E240" s="698">
        <v>694</v>
      </c>
      <c r="F240" s="699">
        <v>39.5</v>
      </c>
      <c r="G240" s="700">
        <f t="shared" si="49"/>
        <v>27413</v>
      </c>
      <c r="H240" s="701"/>
      <c r="I240" s="697">
        <v>41418</v>
      </c>
      <c r="J240" s="614">
        <v>43.46</v>
      </c>
      <c r="K240" s="703">
        <f t="shared" si="50"/>
        <v>30161.24</v>
      </c>
      <c r="L240" s="704">
        <f t="shared" si="51"/>
        <v>2748.2400000000016</v>
      </c>
      <c r="M240" s="712">
        <v>1</v>
      </c>
      <c r="N240" s="813">
        <f t="shared" si="52"/>
        <v>2748.2400000000016</v>
      </c>
      <c r="O240" s="718"/>
    </row>
    <row r="241" spans="1:16" s="546" customFormat="1" ht="15" customHeight="1">
      <c r="A241" s="690" t="s">
        <v>1084</v>
      </c>
      <c r="B241" s="614" t="s">
        <v>645</v>
      </c>
      <c r="C241" s="614" t="s">
        <v>53</v>
      </c>
      <c r="D241" s="697">
        <v>41339</v>
      </c>
      <c r="E241" s="698">
        <v>657</v>
      </c>
      <c r="F241" s="699">
        <v>86.14</v>
      </c>
      <c r="G241" s="700">
        <f t="shared" si="49"/>
        <v>56593.98</v>
      </c>
      <c r="H241" s="701"/>
      <c r="I241" s="697">
        <v>41428</v>
      </c>
      <c r="J241" s="614">
        <v>86.58</v>
      </c>
      <c r="K241" s="703">
        <f t="shared" si="50"/>
        <v>56883.06</v>
      </c>
      <c r="L241" s="704">
        <f t="shared" si="51"/>
        <v>289.07999999999447</v>
      </c>
      <c r="M241" s="712">
        <v>1</v>
      </c>
      <c r="N241" s="813">
        <f t="shared" si="52"/>
        <v>289.07999999999447</v>
      </c>
      <c r="O241" s="718"/>
    </row>
    <row r="242" spans="1:16" s="546" customFormat="1" ht="15" customHeight="1">
      <c r="A242" s="690" t="s">
        <v>482</v>
      </c>
      <c r="B242" s="614" t="s">
        <v>483</v>
      </c>
      <c r="C242" s="614" t="s">
        <v>53</v>
      </c>
      <c r="D242" s="697">
        <v>41339</v>
      </c>
      <c r="E242" s="698">
        <v>862</v>
      </c>
      <c r="F242" s="699">
        <v>36.04</v>
      </c>
      <c r="G242" s="700">
        <f t="shared" si="49"/>
        <v>31066.48</v>
      </c>
      <c r="H242" s="701"/>
      <c r="I242" s="697">
        <v>41449</v>
      </c>
      <c r="J242" s="614">
        <v>39.4</v>
      </c>
      <c r="K242" s="703">
        <f t="shared" si="50"/>
        <v>33962.799999999996</v>
      </c>
      <c r="L242" s="704">
        <f t="shared" si="51"/>
        <v>2896.3199999999961</v>
      </c>
      <c r="M242" s="712">
        <v>1</v>
      </c>
      <c r="N242" s="813">
        <f t="shared" si="52"/>
        <v>2896.3199999999961</v>
      </c>
      <c r="O242" s="718"/>
    </row>
    <row r="243" spans="1:16" s="546" customFormat="1" ht="15" customHeight="1">
      <c r="A243" s="690" t="s">
        <v>1088</v>
      </c>
      <c r="B243" s="614" t="s">
        <v>1087</v>
      </c>
      <c r="C243" s="614" t="s">
        <v>53</v>
      </c>
      <c r="D243" s="697">
        <v>41339</v>
      </c>
      <c r="E243" s="698">
        <v>646</v>
      </c>
      <c r="F243" s="699">
        <v>60.42</v>
      </c>
      <c r="G243" s="700">
        <f t="shared" si="49"/>
        <v>39031.32</v>
      </c>
      <c r="H243" s="701"/>
      <c r="I243" s="697">
        <v>41488</v>
      </c>
      <c r="J243" s="614">
        <v>71.67</v>
      </c>
      <c r="K243" s="703">
        <f t="shared" si="50"/>
        <v>46298.82</v>
      </c>
      <c r="L243" s="704">
        <f t="shared" si="51"/>
        <v>7267.5</v>
      </c>
      <c r="M243" s="712">
        <v>1</v>
      </c>
      <c r="N243" s="813">
        <f t="shared" si="52"/>
        <v>7267.5</v>
      </c>
      <c r="O243" s="706"/>
      <c r="P243" s="548"/>
    </row>
    <row r="244" spans="1:16" s="546" customFormat="1" ht="15" customHeight="1">
      <c r="A244" s="690" t="s">
        <v>1093</v>
      </c>
      <c r="B244" s="614" t="s">
        <v>1094</v>
      </c>
      <c r="C244" s="614" t="s">
        <v>53</v>
      </c>
      <c r="D244" s="697">
        <v>41341</v>
      </c>
      <c r="E244" s="698">
        <v>298</v>
      </c>
      <c r="F244" s="699">
        <v>98.13</v>
      </c>
      <c r="G244" s="700">
        <f t="shared" si="49"/>
        <v>29242.739999999998</v>
      </c>
      <c r="H244" s="701"/>
      <c r="I244" s="697">
        <v>41423</v>
      </c>
      <c r="J244" s="614">
        <v>98.64</v>
      </c>
      <c r="K244" s="703">
        <f t="shared" si="50"/>
        <v>29394.720000000001</v>
      </c>
      <c r="L244" s="704">
        <f t="shared" si="51"/>
        <v>151.9800000000032</v>
      </c>
      <c r="M244" s="712">
        <v>1</v>
      </c>
      <c r="N244" s="813">
        <f t="shared" si="52"/>
        <v>151.9800000000032</v>
      </c>
      <c r="O244" s="718"/>
    </row>
    <row r="245" spans="1:16" s="546" customFormat="1" ht="15" customHeight="1">
      <c r="A245" s="690" t="s">
        <v>1103</v>
      </c>
      <c r="B245" s="614" t="s">
        <v>1104</v>
      </c>
      <c r="C245" s="614" t="s">
        <v>53</v>
      </c>
      <c r="D245" s="697">
        <v>41345</v>
      </c>
      <c r="E245" s="698">
        <v>760</v>
      </c>
      <c r="F245" s="699">
        <v>36.130000000000003</v>
      </c>
      <c r="G245" s="700">
        <f t="shared" si="49"/>
        <v>27458.800000000003</v>
      </c>
      <c r="H245" s="701"/>
      <c r="I245" s="697">
        <v>41417</v>
      </c>
      <c r="J245" s="614">
        <v>37.450000000000003</v>
      </c>
      <c r="K245" s="703">
        <f t="shared" si="50"/>
        <v>28462.000000000004</v>
      </c>
      <c r="L245" s="704">
        <f t="shared" si="51"/>
        <v>1003.2000000000007</v>
      </c>
      <c r="M245" s="712">
        <v>1</v>
      </c>
      <c r="N245" s="813">
        <f t="shared" si="52"/>
        <v>1003.2000000000007</v>
      </c>
      <c r="O245" s="718"/>
    </row>
    <row r="246" spans="1:16" s="546" customFormat="1" ht="15" customHeight="1">
      <c r="A246" s="690" t="s">
        <v>598</v>
      </c>
      <c r="B246" s="614" t="s">
        <v>599</v>
      </c>
      <c r="C246" s="614" t="s">
        <v>53</v>
      </c>
      <c r="D246" s="697">
        <v>41348</v>
      </c>
      <c r="E246" s="698">
        <v>1470</v>
      </c>
      <c r="F246" s="699">
        <v>23.84</v>
      </c>
      <c r="G246" s="700">
        <f t="shared" si="49"/>
        <v>35044.800000000003</v>
      </c>
      <c r="H246" s="701"/>
      <c r="I246" s="697">
        <v>41417</v>
      </c>
      <c r="J246" s="614">
        <v>23.46</v>
      </c>
      <c r="K246" s="703">
        <f t="shared" si="50"/>
        <v>34486.200000000004</v>
      </c>
      <c r="L246" s="704">
        <f t="shared" si="51"/>
        <v>-558.59999999999854</v>
      </c>
      <c r="M246" s="712">
        <v>1</v>
      </c>
      <c r="N246" s="813">
        <f t="shared" si="52"/>
        <v>-558.59999999999854</v>
      </c>
      <c r="O246" s="718"/>
    </row>
    <row r="247" spans="1:16" s="546" customFormat="1" ht="15" customHeight="1">
      <c r="A247" s="690" t="s">
        <v>965</v>
      </c>
      <c r="B247" s="614" t="s">
        <v>559</v>
      </c>
      <c r="C247" s="614" t="s">
        <v>53</v>
      </c>
      <c r="D247" s="697">
        <v>41353</v>
      </c>
      <c r="E247" s="698">
        <v>847</v>
      </c>
      <c r="F247" s="699">
        <v>42.435000000000002</v>
      </c>
      <c r="G247" s="700">
        <f t="shared" si="49"/>
        <v>35942.445</v>
      </c>
      <c r="H247" s="701"/>
      <c r="I247" s="697">
        <v>41423</v>
      </c>
      <c r="J247" s="614">
        <v>45.09</v>
      </c>
      <c r="K247" s="703">
        <f t="shared" si="50"/>
        <v>38191.230000000003</v>
      </c>
      <c r="L247" s="704">
        <f t="shared" si="51"/>
        <v>2248.7850000000035</v>
      </c>
      <c r="M247" s="712">
        <v>1</v>
      </c>
      <c r="N247" s="813">
        <f t="shared" si="52"/>
        <v>2248.7850000000035</v>
      </c>
      <c r="O247" s="718"/>
    </row>
    <row r="248" spans="1:16" s="546" customFormat="1" ht="15" customHeight="1">
      <c r="A248" s="690" t="s">
        <v>458</v>
      </c>
      <c r="B248" s="614" t="s">
        <v>459</v>
      </c>
      <c r="C248" s="614" t="s">
        <v>53</v>
      </c>
      <c r="D248" s="697">
        <v>41358</v>
      </c>
      <c r="E248" s="698">
        <v>862</v>
      </c>
      <c r="F248" s="699">
        <v>50.92</v>
      </c>
      <c r="G248" s="700">
        <f t="shared" si="49"/>
        <v>43893.04</v>
      </c>
      <c r="H248" s="701"/>
      <c r="I248" s="697">
        <v>41423</v>
      </c>
      <c r="J248" s="614">
        <v>50.33</v>
      </c>
      <c r="K248" s="703">
        <f t="shared" si="50"/>
        <v>43384.46</v>
      </c>
      <c r="L248" s="704">
        <f t="shared" si="51"/>
        <v>-508.58000000000175</v>
      </c>
      <c r="M248" s="712">
        <v>1</v>
      </c>
      <c r="N248" s="813">
        <f t="shared" si="52"/>
        <v>-508.58000000000175</v>
      </c>
      <c r="O248" s="718"/>
    </row>
    <row r="249" spans="1:16" s="546" customFormat="1" ht="15" customHeight="1">
      <c r="A249" s="690" t="s">
        <v>1121</v>
      </c>
      <c r="B249" s="614" t="s">
        <v>213</v>
      </c>
      <c r="C249" s="614" t="s">
        <v>53</v>
      </c>
      <c r="D249" s="697">
        <v>41361</v>
      </c>
      <c r="E249" s="698">
        <v>961</v>
      </c>
      <c r="F249" s="699">
        <v>42</v>
      </c>
      <c r="G249" s="700">
        <f t="shared" si="49"/>
        <v>40362</v>
      </c>
      <c r="H249" s="701"/>
      <c r="I249" s="697">
        <v>41417</v>
      </c>
      <c r="J249" s="698">
        <v>42.28</v>
      </c>
      <c r="K249" s="703">
        <f t="shared" si="50"/>
        <v>40631.08</v>
      </c>
      <c r="L249" s="704">
        <f t="shared" si="51"/>
        <v>269.08000000000175</v>
      </c>
      <c r="M249" s="712">
        <v>1</v>
      </c>
      <c r="N249" s="813">
        <f t="shared" si="52"/>
        <v>269.08000000000175</v>
      </c>
      <c r="O249" s="718"/>
    </row>
    <row r="250" spans="1:16" s="546" customFormat="1" ht="15" customHeight="1">
      <c r="A250" s="690" t="s">
        <v>1131</v>
      </c>
      <c r="B250" s="614" t="s">
        <v>1132</v>
      </c>
      <c r="C250" s="614" t="s">
        <v>53</v>
      </c>
      <c r="D250" s="697">
        <v>41365</v>
      </c>
      <c r="E250" s="698">
        <v>1890</v>
      </c>
      <c r="F250" s="699">
        <v>35.229999999999997</v>
      </c>
      <c r="G250" s="700">
        <f t="shared" si="49"/>
        <v>66584.7</v>
      </c>
      <c r="H250" s="701"/>
      <c r="I250" s="697">
        <v>41430</v>
      </c>
      <c r="J250" s="698">
        <v>36.520000000000003</v>
      </c>
      <c r="K250" s="703">
        <f t="shared" si="50"/>
        <v>69022.8</v>
      </c>
      <c r="L250" s="704">
        <f t="shared" si="51"/>
        <v>2438.1000000000058</v>
      </c>
      <c r="M250" s="712">
        <v>1</v>
      </c>
      <c r="N250" s="813">
        <f t="shared" si="52"/>
        <v>2438.1000000000058</v>
      </c>
      <c r="O250" s="718"/>
    </row>
    <row r="251" spans="1:16" s="546" customFormat="1" ht="15" customHeight="1">
      <c r="A251" s="690" t="s">
        <v>1211</v>
      </c>
      <c r="B251" s="612" t="s">
        <v>1212</v>
      </c>
      <c r="C251" s="612" t="s">
        <v>53</v>
      </c>
      <c r="D251" s="702">
        <v>41397</v>
      </c>
      <c r="E251" s="721">
        <v>995</v>
      </c>
      <c r="F251" s="722">
        <v>53.28</v>
      </c>
      <c r="G251" s="722">
        <f t="shared" si="49"/>
        <v>53013.599999999999</v>
      </c>
      <c r="H251" s="722"/>
      <c r="I251" s="723">
        <v>41418</v>
      </c>
      <c r="J251" s="698">
        <v>55.18</v>
      </c>
      <c r="K251" s="703">
        <f t="shared" ref="K251:K262" si="53">SUM(E251*J251)</f>
        <v>54904.1</v>
      </c>
      <c r="L251" s="704">
        <f t="shared" ref="L251:L260" si="54">SUM(K251-G251)</f>
        <v>1890.5</v>
      </c>
      <c r="M251" s="712">
        <v>1</v>
      </c>
      <c r="N251" s="813">
        <f t="shared" ref="N251:N262" si="55">SUM(L251*M251)</f>
        <v>1890.5</v>
      </c>
      <c r="O251" s="718"/>
    </row>
    <row r="252" spans="1:16" s="546" customFormat="1" ht="15" customHeight="1">
      <c r="A252" s="690" t="s">
        <v>1215</v>
      </c>
      <c r="B252" s="612" t="s">
        <v>1216</v>
      </c>
      <c r="C252" s="612" t="s">
        <v>53</v>
      </c>
      <c r="D252" s="724">
        <v>41400</v>
      </c>
      <c r="E252" s="721">
        <v>1130</v>
      </c>
      <c r="F252" s="722">
        <v>61.04</v>
      </c>
      <c r="G252" s="722">
        <f t="shared" si="49"/>
        <v>68975.199999999997</v>
      </c>
      <c r="H252" s="722"/>
      <c r="I252" s="724">
        <v>41430</v>
      </c>
      <c r="J252" s="690">
        <v>60.81</v>
      </c>
      <c r="K252" s="703">
        <f t="shared" si="53"/>
        <v>68715.3</v>
      </c>
      <c r="L252" s="704">
        <f t="shared" si="54"/>
        <v>-259.89999999999418</v>
      </c>
      <c r="M252" s="712">
        <v>1</v>
      </c>
      <c r="N252" s="813">
        <f t="shared" si="55"/>
        <v>-259.89999999999418</v>
      </c>
      <c r="O252" s="718"/>
    </row>
    <row r="253" spans="1:16" s="546" customFormat="1" ht="15" customHeight="1">
      <c r="A253" s="690" t="s">
        <v>1219</v>
      </c>
      <c r="B253" s="612" t="s">
        <v>1220</v>
      </c>
      <c r="C253" s="612" t="s">
        <v>53</v>
      </c>
      <c r="D253" s="724">
        <v>41401</v>
      </c>
      <c r="E253" s="721">
        <v>1513</v>
      </c>
      <c r="F253" s="722">
        <v>33.130000000000003</v>
      </c>
      <c r="G253" s="722">
        <f t="shared" si="49"/>
        <v>50125.69</v>
      </c>
      <c r="H253" s="722"/>
      <c r="I253" s="724">
        <v>41445</v>
      </c>
      <c r="J253" s="690">
        <v>32.96</v>
      </c>
      <c r="K253" s="703">
        <f t="shared" si="53"/>
        <v>49868.480000000003</v>
      </c>
      <c r="L253" s="704">
        <f t="shared" si="54"/>
        <v>-257.20999999999913</v>
      </c>
      <c r="M253" s="712">
        <v>1</v>
      </c>
      <c r="N253" s="813">
        <f t="shared" si="55"/>
        <v>-257.20999999999913</v>
      </c>
      <c r="O253" s="718"/>
    </row>
    <row r="254" spans="1:16" s="546" customFormat="1" ht="15" customHeight="1">
      <c r="A254" s="690" t="s">
        <v>1213</v>
      </c>
      <c r="B254" s="612" t="s">
        <v>1214</v>
      </c>
      <c r="C254" s="612" t="s">
        <v>53</v>
      </c>
      <c r="D254" s="724">
        <v>41404</v>
      </c>
      <c r="E254" s="721">
        <v>1806</v>
      </c>
      <c r="F254" s="722">
        <v>25.43</v>
      </c>
      <c r="G254" s="722">
        <f t="shared" ref="G254:G270" si="56">SUM(E254*F254)</f>
        <v>45926.58</v>
      </c>
      <c r="H254" s="722"/>
      <c r="I254" s="724">
        <v>41430</v>
      </c>
      <c r="J254" s="690">
        <v>24.42</v>
      </c>
      <c r="K254" s="703">
        <f t="shared" si="53"/>
        <v>44102.520000000004</v>
      </c>
      <c r="L254" s="704">
        <f t="shared" si="54"/>
        <v>-1824.0599999999977</v>
      </c>
      <c r="M254" s="712">
        <v>1</v>
      </c>
      <c r="N254" s="813">
        <f t="shared" si="55"/>
        <v>-1824.0599999999977</v>
      </c>
      <c r="O254" s="718"/>
    </row>
    <row r="255" spans="1:16" s="546" customFormat="1" ht="15" customHeight="1">
      <c r="A255" s="690" t="s">
        <v>866</v>
      </c>
      <c r="B255" s="612" t="s">
        <v>867</v>
      </c>
      <c r="C255" s="612" t="s">
        <v>53</v>
      </c>
      <c r="D255" s="723">
        <v>41408</v>
      </c>
      <c r="E255" s="715">
        <v>1382</v>
      </c>
      <c r="F255" s="722">
        <v>50.02</v>
      </c>
      <c r="G255" s="722">
        <f t="shared" si="56"/>
        <v>69127.64</v>
      </c>
      <c r="H255" s="722"/>
      <c r="I255" s="723">
        <v>41415</v>
      </c>
      <c r="J255" s="698">
        <v>48.4</v>
      </c>
      <c r="K255" s="703">
        <f t="shared" si="53"/>
        <v>66888.800000000003</v>
      </c>
      <c r="L255" s="704">
        <f t="shared" si="54"/>
        <v>-2238.8399999999965</v>
      </c>
      <c r="M255" s="712">
        <v>1</v>
      </c>
      <c r="N255" s="813">
        <f t="shared" si="55"/>
        <v>-2238.8399999999965</v>
      </c>
      <c r="O255" s="718"/>
    </row>
    <row r="256" spans="1:16" s="546" customFormat="1" ht="15" customHeight="1">
      <c r="A256" s="690" t="s">
        <v>1158</v>
      </c>
      <c r="B256" s="614" t="s">
        <v>1159</v>
      </c>
      <c r="C256" s="614" t="s">
        <v>53</v>
      </c>
      <c r="D256" s="723">
        <v>41408</v>
      </c>
      <c r="E256" s="715">
        <v>949</v>
      </c>
      <c r="F256" s="699">
        <v>13.31</v>
      </c>
      <c r="G256" s="722">
        <f t="shared" si="56"/>
        <v>12631.19</v>
      </c>
      <c r="H256" s="699"/>
      <c r="I256" s="723">
        <v>41446</v>
      </c>
      <c r="J256" s="698">
        <v>12.78</v>
      </c>
      <c r="K256" s="703">
        <f t="shared" si="53"/>
        <v>12128.22</v>
      </c>
      <c r="L256" s="704">
        <f t="shared" si="54"/>
        <v>-502.97000000000116</v>
      </c>
      <c r="M256" s="712">
        <v>1</v>
      </c>
      <c r="N256" s="813">
        <f t="shared" si="55"/>
        <v>-502.97000000000116</v>
      </c>
      <c r="O256" s="718"/>
    </row>
    <row r="257" spans="1:16" s="546" customFormat="1" ht="15" customHeight="1">
      <c r="A257" s="690" t="s">
        <v>621</v>
      </c>
      <c r="B257" s="612" t="s">
        <v>622</v>
      </c>
      <c r="C257" s="612" t="s">
        <v>53</v>
      </c>
      <c r="D257" s="723">
        <v>41409</v>
      </c>
      <c r="E257" s="715">
        <v>589</v>
      </c>
      <c r="F257" s="722">
        <v>109.15</v>
      </c>
      <c r="G257" s="722">
        <f t="shared" si="56"/>
        <v>64289.350000000006</v>
      </c>
      <c r="H257" s="722"/>
      <c r="I257" s="723">
        <v>41417</v>
      </c>
      <c r="J257" s="698">
        <v>105.35</v>
      </c>
      <c r="K257" s="703">
        <f t="shared" si="53"/>
        <v>62051.149999999994</v>
      </c>
      <c r="L257" s="704">
        <f t="shared" si="54"/>
        <v>-2238.2000000000116</v>
      </c>
      <c r="M257" s="712">
        <v>1</v>
      </c>
      <c r="N257" s="813">
        <f t="shared" si="55"/>
        <v>-2238.2000000000116</v>
      </c>
      <c r="O257" s="718"/>
    </row>
    <row r="258" spans="1:16" s="546" customFormat="1" ht="15" customHeight="1">
      <c r="A258" s="690" t="s">
        <v>1234</v>
      </c>
      <c r="B258" s="612" t="s">
        <v>1235</v>
      </c>
      <c r="C258" s="612" t="s">
        <v>53</v>
      </c>
      <c r="D258" s="723">
        <v>41409</v>
      </c>
      <c r="E258" s="715">
        <v>613</v>
      </c>
      <c r="F258" s="722">
        <v>98.05</v>
      </c>
      <c r="G258" s="722">
        <f t="shared" si="56"/>
        <v>60104.65</v>
      </c>
      <c r="H258" s="722"/>
      <c r="I258" s="723">
        <v>41478</v>
      </c>
      <c r="J258" s="690">
        <v>99.26</v>
      </c>
      <c r="K258" s="703">
        <f t="shared" si="53"/>
        <v>60846.380000000005</v>
      </c>
      <c r="L258" s="704">
        <f t="shared" si="54"/>
        <v>741.7300000000032</v>
      </c>
      <c r="M258" s="712">
        <v>1</v>
      </c>
      <c r="N258" s="813">
        <f t="shared" si="55"/>
        <v>741.7300000000032</v>
      </c>
      <c r="O258" s="718"/>
    </row>
    <row r="259" spans="1:16" s="546" customFormat="1" ht="15" customHeight="1">
      <c r="A259" s="690" t="s">
        <v>543</v>
      </c>
      <c r="B259" s="612" t="s">
        <v>544</v>
      </c>
      <c r="C259" s="612" t="s">
        <v>53</v>
      </c>
      <c r="D259" s="723">
        <v>41410</v>
      </c>
      <c r="E259" s="715">
        <v>1125</v>
      </c>
      <c r="F259" s="722">
        <v>48.3</v>
      </c>
      <c r="G259" s="722">
        <f t="shared" si="56"/>
        <v>54337.5</v>
      </c>
      <c r="H259" s="722"/>
      <c r="I259" s="723">
        <v>41436</v>
      </c>
      <c r="J259" s="698">
        <v>47.03</v>
      </c>
      <c r="K259" s="703">
        <f t="shared" si="53"/>
        <v>52908.75</v>
      </c>
      <c r="L259" s="704">
        <f t="shared" si="54"/>
        <v>-1428.75</v>
      </c>
      <c r="M259" s="712">
        <v>1</v>
      </c>
      <c r="N259" s="813">
        <f t="shared" si="55"/>
        <v>-1428.75</v>
      </c>
      <c r="O259" s="718"/>
    </row>
    <row r="260" spans="1:16" s="546" customFormat="1" ht="15" customHeight="1">
      <c r="A260" s="690" t="s">
        <v>1223</v>
      </c>
      <c r="B260" s="612" t="s">
        <v>1224</v>
      </c>
      <c r="C260" s="612" t="s">
        <v>53</v>
      </c>
      <c r="D260" s="723">
        <v>41428</v>
      </c>
      <c r="E260" s="715">
        <v>2333</v>
      </c>
      <c r="F260" s="722">
        <v>25.05</v>
      </c>
      <c r="G260" s="722">
        <f t="shared" si="56"/>
        <v>58441.65</v>
      </c>
      <c r="H260" s="722"/>
      <c r="I260" s="723">
        <v>41446</v>
      </c>
      <c r="J260" s="698">
        <v>24.09</v>
      </c>
      <c r="K260" s="703">
        <f t="shared" si="53"/>
        <v>56201.97</v>
      </c>
      <c r="L260" s="704">
        <f t="shared" si="54"/>
        <v>-2239.6800000000003</v>
      </c>
      <c r="M260" s="712">
        <v>1</v>
      </c>
      <c r="N260" s="813">
        <f t="shared" si="55"/>
        <v>-2239.6800000000003</v>
      </c>
      <c r="O260" s="718"/>
    </row>
    <row r="261" spans="1:16" s="549" customFormat="1" ht="15" customHeight="1">
      <c r="A261" s="725" t="s">
        <v>1230</v>
      </c>
      <c r="B261" s="615" t="s">
        <v>1231</v>
      </c>
      <c r="C261" s="615" t="s">
        <v>78</v>
      </c>
      <c r="D261" s="726">
        <v>41428</v>
      </c>
      <c r="E261" s="727">
        <v>1387</v>
      </c>
      <c r="F261" s="728">
        <v>41.67</v>
      </c>
      <c r="G261" s="722">
        <f t="shared" si="56"/>
        <v>57796.29</v>
      </c>
      <c r="H261" s="728"/>
      <c r="I261" s="726">
        <v>41463</v>
      </c>
      <c r="J261" s="725">
        <v>41.62</v>
      </c>
      <c r="K261" s="711">
        <f t="shared" si="53"/>
        <v>57726.939999999995</v>
      </c>
      <c r="L261" s="713">
        <f>SUM(G261-K261)</f>
        <v>69.350000000005821</v>
      </c>
      <c r="M261" s="712">
        <v>1</v>
      </c>
      <c r="N261" s="812">
        <f t="shared" si="55"/>
        <v>69.350000000005821</v>
      </c>
      <c r="O261" s="729"/>
    </row>
    <row r="262" spans="1:16" s="549" customFormat="1" ht="15" customHeight="1">
      <c r="A262" s="725" t="s">
        <v>1217</v>
      </c>
      <c r="B262" s="615" t="s">
        <v>1218</v>
      </c>
      <c r="C262" s="615" t="s">
        <v>78</v>
      </c>
      <c r="D262" s="726">
        <v>41431</v>
      </c>
      <c r="E262" s="727">
        <v>1473</v>
      </c>
      <c r="F262" s="728">
        <v>19.75</v>
      </c>
      <c r="G262" s="722">
        <f t="shared" si="56"/>
        <v>29091.75</v>
      </c>
      <c r="H262" s="728"/>
      <c r="I262" s="726">
        <v>41438</v>
      </c>
      <c r="J262" s="725">
        <v>20.87</v>
      </c>
      <c r="K262" s="711">
        <f t="shared" si="53"/>
        <v>30741.510000000002</v>
      </c>
      <c r="L262" s="713">
        <f>SUM(G262-K262)</f>
        <v>-1649.760000000002</v>
      </c>
      <c r="M262" s="712">
        <v>1</v>
      </c>
      <c r="N262" s="812">
        <f t="shared" si="55"/>
        <v>-1649.760000000002</v>
      </c>
      <c r="O262" s="729"/>
    </row>
    <row r="263" spans="1:16" s="546" customFormat="1" ht="15" customHeight="1">
      <c r="A263" s="690" t="s">
        <v>1221</v>
      </c>
      <c r="B263" s="612" t="s">
        <v>1222</v>
      </c>
      <c r="C263" s="612" t="s">
        <v>53</v>
      </c>
      <c r="D263" s="723">
        <v>41432</v>
      </c>
      <c r="E263" s="715">
        <v>1325</v>
      </c>
      <c r="F263" s="722">
        <v>29.14</v>
      </c>
      <c r="G263" s="722">
        <f t="shared" si="56"/>
        <v>38610.5</v>
      </c>
      <c r="H263" s="722"/>
      <c r="I263" s="723">
        <v>41446</v>
      </c>
      <c r="J263" s="698">
        <v>27.45</v>
      </c>
      <c r="K263" s="703">
        <f t="shared" ref="K263:K268" si="57">SUM(E263*J263)</f>
        <v>36371.25</v>
      </c>
      <c r="L263" s="704">
        <f>SUM(K263-G263)</f>
        <v>-2239.25</v>
      </c>
      <c r="M263" s="712">
        <v>1</v>
      </c>
      <c r="N263" s="813">
        <f t="shared" ref="N263:N268" si="58">SUM(L263*M263)</f>
        <v>-2239.25</v>
      </c>
      <c r="O263" s="718"/>
    </row>
    <row r="264" spans="1:16" s="546" customFormat="1" ht="15" customHeight="1">
      <c r="A264" s="690" t="s">
        <v>1225</v>
      </c>
      <c r="B264" s="612" t="s">
        <v>510</v>
      </c>
      <c r="C264" s="612" t="s">
        <v>53</v>
      </c>
      <c r="D264" s="723">
        <v>41442</v>
      </c>
      <c r="E264" s="715">
        <v>727</v>
      </c>
      <c r="F264" s="722">
        <v>118.44</v>
      </c>
      <c r="G264" s="722">
        <f t="shared" si="56"/>
        <v>86105.88</v>
      </c>
      <c r="H264" s="722"/>
      <c r="I264" s="723">
        <v>41446</v>
      </c>
      <c r="J264" s="698">
        <v>115.36</v>
      </c>
      <c r="K264" s="703">
        <f t="shared" si="57"/>
        <v>83866.720000000001</v>
      </c>
      <c r="L264" s="704">
        <f>SUM(K264-G264)</f>
        <v>-2239.1600000000035</v>
      </c>
      <c r="M264" s="712">
        <v>1</v>
      </c>
      <c r="N264" s="813">
        <f t="shared" si="58"/>
        <v>-2239.1600000000035</v>
      </c>
      <c r="O264" s="718"/>
    </row>
    <row r="265" spans="1:16" s="546" customFormat="1" ht="15" customHeight="1">
      <c r="A265" s="690" t="s">
        <v>1226</v>
      </c>
      <c r="B265" s="612" t="s">
        <v>1227</v>
      </c>
      <c r="C265" s="612" t="s">
        <v>53</v>
      </c>
      <c r="D265" s="723">
        <v>41443</v>
      </c>
      <c r="E265" s="715">
        <v>1365</v>
      </c>
      <c r="F265" s="722">
        <v>46.42</v>
      </c>
      <c r="G265" s="722">
        <f t="shared" si="56"/>
        <v>63363.3</v>
      </c>
      <c r="H265" s="722"/>
      <c r="I265" s="723">
        <v>41449</v>
      </c>
      <c r="J265" s="698">
        <v>44.7</v>
      </c>
      <c r="K265" s="703">
        <f t="shared" si="57"/>
        <v>61015.500000000007</v>
      </c>
      <c r="L265" s="704">
        <f>SUM(K265-G265)</f>
        <v>-2347.7999999999956</v>
      </c>
      <c r="M265" s="712">
        <v>1</v>
      </c>
      <c r="N265" s="814">
        <f t="shared" si="58"/>
        <v>-2347.7999999999956</v>
      </c>
      <c r="O265" s="718"/>
    </row>
    <row r="266" spans="1:16" s="546" customFormat="1" ht="15" customHeight="1">
      <c r="A266" s="690" t="s">
        <v>499</v>
      </c>
      <c r="B266" s="612" t="s">
        <v>500</v>
      </c>
      <c r="C266" s="612" t="s">
        <v>53</v>
      </c>
      <c r="D266" s="723">
        <v>41444</v>
      </c>
      <c r="E266" s="715">
        <v>330</v>
      </c>
      <c r="F266" s="722">
        <v>191.3</v>
      </c>
      <c r="G266" s="722">
        <f t="shared" si="56"/>
        <v>63129.000000000007</v>
      </c>
      <c r="H266" s="722"/>
      <c r="I266" s="723">
        <v>41446</v>
      </c>
      <c r="J266" s="698">
        <v>184.52</v>
      </c>
      <c r="K266" s="703">
        <f t="shared" si="57"/>
        <v>60891.600000000006</v>
      </c>
      <c r="L266" s="704">
        <f>SUM(K266-G266)</f>
        <v>-2237.4000000000015</v>
      </c>
      <c r="M266" s="712">
        <v>1</v>
      </c>
      <c r="N266" s="814">
        <f t="shared" si="58"/>
        <v>-2237.4000000000015</v>
      </c>
      <c r="O266" s="718"/>
    </row>
    <row r="267" spans="1:16" s="549" customFormat="1" ht="15" customHeight="1">
      <c r="A267" s="725" t="s">
        <v>1232</v>
      </c>
      <c r="B267" s="615" t="s">
        <v>1233</v>
      </c>
      <c r="C267" s="615" t="s">
        <v>78</v>
      </c>
      <c r="D267" s="726">
        <v>41444</v>
      </c>
      <c r="E267" s="727">
        <v>1018</v>
      </c>
      <c r="F267" s="728">
        <v>39.9</v>
      </c>
      <c r="G267" s="722">
        <f t="shared" si="56"/>
        <v>40618.199999999997</v>
      </c>
      <c r="H267" s="728"/>
      <c r="I267" s="726">
        <v>41464</v>
      </c>
      <c r="J267" s="725">
        <v>42.1</v>
      </c>
      <c r="K267" s="711">
        <f t="shared" si="57"/>
        <v>42857.8</v>
      </c>
      <c r="L267" s="713">
        <f>SUM(G267-K267)</f>
        <v>-2239.6000000000058</v>
      </c>
      <c r="M267" s="712">
        <v>1</v>
      </c>
      <c r="N267" s="815">
        <f t="shared" si="58"/>
        <v>-2239.6000000000058</v>
      </c>
      <c r="O267" s="729"/>
    </row>
    <row r="268" spans="1:16" s="549" customFormat="1" ht="15" customHeight="1">
      <c r="A268" s="725" t="s">
        <v>1228</v>
      </c>
      <c r="B268" s="615" t="s">
        <v>1229</v>
      </c>
      <c r="C268" s="615" t="s">
        <v>78</v>
      </c>
      <c r="D268" s="726">
        <v>41449</v>
      </c>
      <c r="E268" s="727">
        <v>700</v>
      </c>
      <c r="F268" s="728">
        <v>61.5</v>
      </c>
      <c r="G268" s="722">
        <f t="shared" si="56"/>
        <v>43050</v>
      </c>
      <c r="H268" s="728"/>
      <c r="I268" s="726">
        <v>41457</v>
      </c>
      <c r="J268" s="725">
        <v>64.7</v>
      </c>
      <c r="K268" s="711">
        <f t="shared" si="57"/>
        <v>45290</v>
      </c>
      <c r="L268" s="713">
        <f>SUM(G268-K268)</f>
        <v>-2240</v>
      </c>
      <c r="M268" s="712">
        <v>1</v>
      </c>
      <c r="N268" s="815">
        <f t="shared" si="58"/>
        <v>-2240</v>
      </c>
      <c r="O268" s="729"/>
    </row>
    <row r="269" spans="1:16" s="546" customFormat="1" ht="15" customHeight="1">
      <c r="A269" s="690" t="s">
        <v>1238</v>
      </c>
      <c r="B269" s="612" t="s">
        <v>1239</v>
      </c>
      <c r="C269" s="612" t="s">
        <v>53</v>
      </c>
      <c r="D269" s="723">
        <v>41459</v>
      </c>
      <c r="E269" s="715">
        <v>524</v>
      </c>
      <c r="F269" s="722">
        <v>123.44</v>
      </c>
      <c r="G269" s="722">
        <f t="shared" si="56"/>
        <v>64682.559999999998</v>
      </c>
      <c r="H269" s="722"/>
      <c r="I269" s="723">
        <v>41484</v>
      </c>
      <c r="J269" s="698">
        <v>127.38</v>
      </c>
      <c r="K269" s="703">
        <f>SUM(E269*J269)</f>
        <v>66747.12</v>
      </c>
      <c r="L269" s="704">
        <f>SUM(K269-G269)</f>
        <v>2064.5599999999977</v>
      </c>
      <c r="M269" s="712">
        <v>1</v>
      </c>
      <c r="N269" s="814">
        <f>SUM(L269*M269)</f>
        <v>2064.5599999999977</v>
      </c>
      <c r="O269" s="718"/>
    </row>
    <row r="270" spans="1:16" s="548" customFormat="1" ht="15" customHeight="1">
      <c r="A270" s="690" t="s">
        <v>1236</v>
      </c>
      <c r="B270" s="612" t="s">
        <v>1237</v>
      </c>
      <c r="C270" s="612" t="s">
        <v>53</v>
      </c>
      <c r="D270" s="723">
        <v>41470</v>
      </c>
      <c r="E270" s="715">
        <v>3111</v>
      </c>
      <c r="F270" s="722">
        <v>17.59</v>
      </c>
      <c r="G270" s="722">
        <f t="shared" si="56"/>
        <v>54722.49</v>
      </c>
      <c r="H270" s="722"/>
      <c r="I270" s="723">
        <v>41481</v>
      </c>
      <c r="J270" s="698">
        <v>16.96</v>
      </c>
      <c r="K270" s="703">
        <f>SUM(E270*J270)</f>
        <v>52762.560000000005</v>
      </c>
      <c r="L270" s="704">
        <f>SUM(K270-G270)</f>
        <v>-1959.929999999993</v>
      </c>
      <c r="M270" s="712">
        <v>1</v>
      </c>
      <c r="N270" s="814">
        <f>SUM(L270*M270)</f>
        <v>-1959.929999999993</v>
      </c>
      <c r="O270" s="718"/>
      <c r="P270" s="546"/>
    </row>
    <row r="271" spans="1:16" s="551" customFormat="1" ht="15" customHeight="1">
      <c r="A271" s="690" t="s">
        <v>1196</v>
      </c>
      <c r="B271" s="612" t="s">
        <v>1197</v>
      </c>
      <c r="C271" s="612" t="s">
        <v>53</v>
      </c>
      <c r="D271" s="723">
        <v>41478</v>
      </c>
      <c r="E271" s="730">
        <v>711</v>
      </c>
      <c r="F271" s="722">
        <v>98.82</v>
      </c>
      <c r="G271" s="700">
        <f t="shared" ref="G271:G278" si="59">SUM(E271*F271)</f>
        <v>70261.01999999999</v>
      </c>
      <c r="H271" s="722"/>
      <c r="I271" s="723">
        <v>41502</v>
      </c>
      <c r="J271" s="731">
        <v>100.45</v>
      </c>
      <c r="K271" s="703">
        <f t="shared" ref="K271:K278" si="60">SUM(E271*J271)</f>
        <v>71419.95</v>
      </c>
      <c r="L271" s="704">
        <f t="shared" ref="L271:L278" si="61">SUM(K271-G271)</f>
        <v>1158.9300000000076</v>
      </c>
      <c r="M271" s="712">
        <v>1</v>
      </c>
      <c r="N271" s="814">
        <f t="shared" ref="N271:N278" si="62">SUM(L271*M271)</f>
        <v>1158.9300000000076</v>
      </c>
      <c r="O271" s="732"/>
      <c r="P271" s="550"/>
    </row>
    <row r="272" spans="1:16" s="551" customFormat="1" ht="15" customHeight="1">
      <c r="A272" s="690" t="s">
        <v>1207</v>
      </c>
      <c r="B272" s="612" t="s">
        <v>1208</v>
      </c>
      <c r="C272" s="612" t="s">
        <v>53</v>
      </c>
      <c r="D272" s="723">
        <v>41487</v>
      </c>
      <c r="E272" s="730">
        <v>120</v>
      </c>
      <c r="F272" s="722">
        <v>173.7</v>
      </c>
      <c r="G272" s="700">
        <f t="shared" si="59"/>
        <v>20844</v>
      </c>
      <c r="H272" s="722"/>
      <c r="I272" s="723">
        <v>41500</v>
      </c>
      <c r="J272" s="731">
        <v>170.6</v>
      </c>
      <c r="K272" s="703">
        <f t="shared" si="60"/>
        <v>20472</v>
      </c>
      <c r="L272" s="704">
        <f t="shared" si="61"/>
        <v>-372</v>
      </c>
      <c r="M272" s="712">
        <v>1</v>
      </c>
      <c r="N272" s="814">
        <f t="shared" si="62"/>
        <v>-372</v>
      </c>
      <c r="O272" s="732"/>
      <c r="P272" s="550"/>
    </row>
    <row r="273" spans="1:16" s="551" customFormat="1" ht="15" customHeight="1">
      <c r="A273" s="690" t="s">
        <v>1209</v>
      </c>
      <c r="B273" s="612" t="s">
        <v>1210</v>
      </c>
      <c r="C273" s="612" t="s">
        <v>53</v>
      </c>
      <c r="D273" s="723">
        <v>41486</v>
      </c>
      <c r="E273" s="730">
        <v>987</v>
      </c>
      <c r="F273" s="722">
        <v>67.83</v>
      </c>
      <c r="G273" s="700">
        <f t="shared" si="59"/>
        <v>66948.209999999992</v>
      </c>
      <c r="H273" s="722"/>
      <c r="I273" s="723">
        <v>41501</v>
      </c>
      <c r="J273" s="731">
        <v>65.37</v>
      </c>
      <c r="K273" s="703">
        <f t="shared" si="60"/>
        <v>64520.19</v>
      </c>
      <c r="L273" s="704">
        <f t="shared" si="61"/>
        <v>-2428.0199999999895</v>
      </c>
      <c r="M273" s="712">
        <v>1</v>
      </c>
      <c r="N273" s="814">
        <f t="shared" si="62"/>
        <v>-2428.0199999999895</v>
      </c>
      <c r="O273" s="732"/>
      <c r="P273" s="550"/>
    </row>
    <row r="274" spans="1:16" s="551" customFormat="1" ht="15" customHeight="1">
      <c r="A274" s="690" t="s">
        <v>1200</v>
      </c>
      <c r="B274" s="612" t="s">
        <v>1201</v>
      </c>
      <c r="C274" s="612" t="s">
        <v>53</v>
      </c>
      <c r="D274" s="723">
        <v>41478</v>
      </c>
      <c r="E274" s="730">
        <v>846</v>
      </c>
      <c r="F274" s="722">
        <v>92.59</v>
      </c>
      <c r="G274" s="700">
        <f t="shared" si="59"/>
        <v>78331.14</v>
      </c>
      <c r="H274" s="722"/>
      <c r="I274" s="723">
        <v>41505</v>
      </c>
      <c r="J274" s="731">
        <v>99.15</v>
      </c>
      <c r="K274" s="703">
        <f t="shared" si="60"/>
        <v>83880.900000000009</v>
      </c>
      <c r="L274" s="704">
        <f t="shared" si="61"/>
        <v>5549.7600000000093</v>
      </c>
      <c r="M274" s="712">
        <v>1</v>
      </c>
      <c r="N274" s="814">
        <f t="shared" si="62"/>
        <v>5549.7600000000093</v>
      </c>
      <c r="O274" s="732"/>
      <c r="P274" s="550"/>
    </row>
    <row r="275" spans="1:16" s="551" customFormat="1" ht="15" customHeight="1">
      <c r="A275" s="690" t="s">
        <v>462</v>
      </c>
      <c r="B275" s="612" t="s">
        <v>463</v>
      </c>
      <c r="C275" s="612" t="s">
        <v>53</v>
      </c>
      <c r="D275" s="723">
        <v>41477</v>
      </c>
      <c r="E275" s="730">
        <v>987</v>
      </c>
      <c r="F275" s="722">
        <v>59.98</v>
      </c>
      <c r="G275" s="700">
        <f t="shared" si="59"/>
        <v>59200.259999999995</v>
      </c>
      <c r="H275" s="722"/>
      <c r="I275" s="723">
        <v>41513</v>
      </c>
      <c r="J275" s="731">
        <v>58.59</v>
      </c>
      <c r="K275" s="703">
        <f t="shared" si="60"/>
        <v>57828.33</v>
      </c>
      <c r="L275" s="704">
        <f t="shared" si="61"/>
        <v>-1371.929999999993</v>
      </c>
      <c r="M275" s="705">
        <v>1</v>
      </c>
      <c r="N275" s="814">
        <f t="shared" si="62"/>
        <v>-1371.929999999993</v>
      </c>
      <c r="O275" s="732" t="s">
        <v>896</v>
      </c>
      <c r="P275" s="546"/>
    </row>
    <row r="276" spans="1:16" s="551" customFormat="1" ht="15" customHeight="1">
      <c r="A276" s="690" t="s">
        <v>1189</v>
      </c>
      <c r="B276" s="612" t="s">
        <v>1190</v>
      </c>
      <c r="C276" s="612" t="s">
        <v>53</v>
      </c>
      <c r="D276" s="723">
        <v>41463</v>
      </c>
      <c r="E276" s="730">
        <v>179</v>
      </c>
      <c r="F276" s="722">
        <v>291.47000000000003</v>
      </c>
      <c r="G276" s="700">
        <f t="shared" si="59"/>
        <v>52173.130000000005</v>
      </c>
      <c r="H276" s="722"/>
      <c r="I276" s="723">
        <v>41513</v>
      </c>
      <c r="J276" s="731">
        <v>282.69</v>
      </c>
      <c r="K276" s="703">
        <f t="shared" si="60"/>
        <v>50601.51</v>
      </c>
      <c r="L276" s="704">
        <f t="shared" si="61"/>
        <v>-1571.6200000000026</v>
      </c>
      <c r="M276" s="705">
        <v>1</v>
      </c>
      <c r="N276" s="814">
        <f t="shared" si="62"/>
        <v>-1571.6200000000026</v>
      </c>
      <c r="O276" s="732" t="s">
        <v>3</v>
      </c>
      <c r="P276" s="550"/>
    </row>
    <row r="277" spans="1:16" s="546" customFormat="1" ht="15" customHeight="1">
      <c r="A277" s="690" t="s">
        <v>1301</v>
      </c>
      <c r="B277" s="614" t="s">
        <v>1300</v>
      </c>
      <c r="C277" s="614" t="s">
        <v>53</v>
      </c>
      <c r="D277" s="697">
        <v>41512</v>
      </c>
      <c r="E277" s="698">
        <v>492</v>
      </c>
      <c r="F277" s="699">
        <v>112.06</v>
      </c>
      <c r="G277" s="700">
        <f t="shared" si="59"/>
        <v>55133.520000000004</v>
      </c>
      <c r="H277" s="701"/>
      <c r="I277" s="723">
        <v>41516</v>
      </c>
      <c r="J277" s="699">
        <v>107.26</v>
      </c>
      <c r="K277" s="703">
        <f t="shared" si="60"/>
        <v>52771.920000000006</v>
      </c>
      <c r="L277" s="704">
        <f t="shared" si="61"/>
        <v>-2361.5999999999985</v>
      </c>
      <c r="M277" s="705">
        <v>1</v>
      </c>
      <c r="N277" s="814">
        <f t="shared" si="62"/>
        <v>-2361.5999999999985</v>
      </c>
      <c r="O277" s="718"/>
    </row>
    <row r="278" spans="1:16" s="551" customFormat="1" ht="15" customHeight="1">
      <c r="A278" s="690" t="s">
        <v>1202</v>
      </c>
      <c r="B278" s="612" t="s">
        <v>1203</v>
      </c>
      <c r="C278" s="612" t="s">
        <v>53</v>
      </c>
      <c r="D278" s="723">
        <v>41477</v>
      </c>
      <c r="E278" s="730">
        <v>3102</v>
      </c>
      <c r="F278" s="722">
        <v>19.16</v>
      </c>
      <c r="G278" s="700">
        <f t="shared" si="59"/>
        <v>59434.32</v>
      </c>
      <c r="H278" s="722"/>
      <c r="I278" s="723">
        <v>41514</v>
      </c>
      <c r="J278" s="731">
        <v>18.329999999999998</v>
      </c>
      <c r="K278" s="703">
        <f t="shared" si="60"/>
        <v>56859.659999999996</v>
      </c>
      <c r="L278" s="704">
        <f t="shared" si="61"/>
        <v>-2574.6600000000035</v>
      </c>
      <c r="M278" s="705">
        <v>1</v>
      </c>
      <c r="N278" s="814">
        <f t="shared" si="62"/>
        <v>-2574.6600000000035</v>
      </c>
      <c r="O278" s="732"/>
      <c r="P278" s="550"/>
    </row>
    <row r="279" spans="1:16" s="551" customFormat="1" ht="15" customHeight="1">
      <c r="A279" s="690" t="s">
        <v>1204</v>
      </c>
      <c r="B279" s="612" t="s">
        <v>1205</v>
      </c>
      <c r="C279" s="612" t="s">
        <v>53</v>
      </c>
      <c r="D279" s="723">
        <v>41486</v>
      </c>
      <c r="E279" s="730">
        <v>1287</v>
      </c>
      <c r="F279" s="722">
        <v>40.89</v>
      </c>
      <c r="G279" s="700">
        <f>SUM(E279*F279)</f>
        <v>52625.43</v>
      </c>
      <c r="H279" s="722"/>
      <c r="I279" s="723">
        <v>41514</v>
      </c>
      <c r="J279" s="731">
        <v>39.01</v>
      </c>
      <c r="K279" s="703">
        <f>SUM(E279*J279)</f>
        <v>50205.869999999995</v>
      </c>
      <c r="L279" s="704">
        <f>SUM(K279-G279)</f>
        <v>-2419.5600000000049</v>
      </c>
      <c r="M279" s="705">
        <v>1</v>
      </c>
      <c r="N279" s="814">
        <f>SUM(L279*M279)</f>
        <v>-2419.5600000000049</v>
      </c>
      <c r="O279" s="732"/>
      <c r="P279" s="550"/>
    </row>
    <row r="280" spans="1:16" s="551" customFormat="1" ht="15" customHeight="1">
      <c r="A280" s="690" t="s">
        <v>1186</v>
      </c>
      <c r="B280" s="612" t="s">
        <v>1187</v>
      </c>
      <c r="C280" s="612" t="s">
        <v>53</v>
      </c>
      <c r="D280" s="724">
        <v>41402</v>
      </c>
      <c r="E280" s="733">
        <v>1571</v>
      </c>
      <c r="F280" s="722">
        <v>48.18</v>
      </c>
      <c r="G280" s="700">
        <f t="shared" ref="G280:G285" si="63">SUM(E280*F280)</f>
        <v>75690.78</v>
      </c>
      <c r="H280" s="722"/>
      <c r="I280" s="723">
        <v>41513</v>
      </c>
      <c r="J280" s="703">
        <v>51.89</v>
      </c>
      <c r="K280" s="703">
        <f t="shared" ref="K280:K285" si="64">SUM(E280*J280)</f>
        <v>81519.19</v>
      </c>
      <c r="L280" s="704">
        <f>SUM(K280-G280)</f>
        <v>5828.4100000000035</v>
      </c>
      <c r="M280" s="705">
        <v>1</v>
      </c>
      <c r="N280" s="816">
        <f t="shared" ref="N280:N285" si="65">SUM(L280*M280)</f>
        <v>5828.4100000000035</v>
      </c>
      <c r="O280" s="732"/>
      <c r="P280" s="550"/>
    </row>
    <row r="281" spans="1:16" s="551" customFormat="1" ht="15" customHeight="1">
      <c r="A281" s="690" t="s">
        <v>1206</v>
      </c>
      <c r="B281" s="612" t="s">
        <v>542</v>
      </c>
      <c r="C281" s="612" t="s">
        <v>53</v>
      </c>
      <c r="D281" s="723">
        <v>41487</v>
      </c>
      <c r="E281" s="730">
        <v>1890</v>
      </c>
      <c r="F281" s="722">
        <v>42.32</v>
      </c>
      <c r="G281" s="700">
        <f t="shared" si="63"/>
        <v>79984.800000000003</v>
      </c>
      <c r="H281" s="722"/>
      <c r="I281" s="723">
        <v>41514</v>
      </c>
      <c r="J281" s="731">
        <v>41.04</v>
      </c>
      <c r="K281" s="703">
        <f t="shared" si="64"/>
        <v>77565.599999999991</v>
      </c>
      <c r="L281" s="704">
        <f>SUM(K281-G281)</f>
        <v>-2419.2000000000116</v>
      </c>
      <c r="M281" s="705">
        <v>1</v>
      </c>
      <c r="N281" s="816">
        <f t="shared" si="65"/>
        <v>-2419.2000000000116</v>
      </c>
      <c r="O281" s="732"/>
      <c r="P281" s="550"/>
    </row>
    <row r="282" spans="1:16" s="546" customFormat="1" ht="15" customHeight="1">
      <c r="A282" s="690" t="s">
        <v>586</v>
      </c>
      <c r="B282" s="614" t="s">
        <v>587</v>
      </c>
      <c r="C282" s="614" t="s">
        <v>53</v>
      </c>
      <c r="D282" s="697">
        <v>41513</v>
      </c>
      <c r="E282" s="698">
        <v>716</v>
      </c>
      <c r="F282" s="699">
        <v>82.9</v>
      </c>
      <c r="G282" s="700">
        <f t="shared" si="63"/>
        <v>59356.4</v>
      </c>
      <c r="H282" s="701"/>
      <c r="I282" s="723">
        <v>41514</v>
      </c>
      <c r="J282" s="699">
        <v>79.37</v>
      </c>
      <c r="K282" s="703">
        <f t="shared" si="64"/>
        <v>56828.920000000006</v>
      </c>
      <c r="L282" s="704">
        <f>SUM(K282-G282)</f>
        <v>-2527.4799999999959</v>
      </c>
      <c r="M282" s="705">
        <v>1</v>
      </c>
      <c r="N282" s="813">
        <f t="shared" si="65"/>
        <v>-2527.4799999999959</v>
      </c>
      <c r="O282" s="718"/>
    </row>
    <row r="283" spans="1:16" s="548" customFormat="1" ht="15" customHeight="1">
      <c r="A283" s="696" t="s">
        <v>1289</v>
      </c>
      <c r="B283" s="613" t="s">
        <v>1290</v>
      </c>
      <c r="C283" s="613" t="s">
        <v>78</v>
      </c>
      <c r="D283" s="707">
        <v>41507</v>
      </c>
      <c r="E283" s="696">
        <v>587</v>
      </c>
      <c r="F283" s="708">
        <v>114.13</v>
      </c>
      <c r="G283" s="709">
        <f t="shared" si="63"/>
        <v>66994.31</v>
      </c>
      <c r="H283" s="710"/>
      <c r="I283" s="719">
        <v>41535</v>
      </c>
      <c r="J283" s="708">
        <v>115.99</v>
      </c>
      <c r="K283" s="711">
        <f t="shared" si="64"/>
        <v>68086.12999999999</v>
      </c>
      <c r="L283" s="713">
        <f>SUM(G283-K283)</f>
        <v>-1091.8199999999924</v>
      </c>
      <c r="M283" s="705">
        <v>1</v>
      </c>
      <c r="N283" s="812">
        <f t="shared" si="65"/>
        <v>-1091.8199999999924</v>
      </c>
      <c r="O283" s="706"/>
    </row>
    <row r="284" spans="1:16" s="551" customFormat="1" ht="15" customHeight="1">
      <c r="A284" s="690" t="s">
        <v>1198</v>
      </c>
      <c r="B284" s="612" t="s">
        <v>1199</v>
      </c>
      <c r="C284" s="612" t="s">
        <v>53</v>
      </c>
      <c r="D284" s="723">
        <v>41480</v>
      </c>
      <c r="E284" s="730">
        <f>620*2</f>
        <v>1240</v>
      </c>
      <c r="F284" s="722">
        <f>76.18/2</f>
        <v>38.090000000000003</v>
      </c>
      <c r="G284" s="700">
        <f t="shared" si="63"/>
        <v>47231.600000000006</v>
      </c>
      <c r="H284" s="722"/>
      <c r="I284" s="719">
        <v>41542</v>
      </c>
      <c r="J284" s="731">
        <v>36.14</v>
      </c>
      <c r="K284" s="703">
        <f t="shared" si="64"/>
        <v>44813.599999999999</v>
      </c>
      <c r="L284" s="704">
        <f t="shared" ref="L284:L290" si="66">SUM(K284-G284)</f>
        <v>-2418.0000000000073</v>
      </c>
      <c r="M284" s="705">
        <v>1</v>
      </c>
      <c r="N284" s="813">
        <f t="shared" si="65"/>
        <v>-2418.0000000000073</v>
      </c>
      <c r="O284" s="732" t="s">
        <v>3</v>
      </c>
      <c r="P284" s="550"/>
    </row>
    <row r="285" spans="1:16" s="546" customFormat="1" ht="15" customHeight="1">
      <c r="A285" s="690" t="s">
        <v>1335</v>
      </c>
      <c r="B285" s="614" t="s">
        <v>532</v>
      </c>
      <c r="C285" s="614" t="s">
        <v>53</v>
      </c>
      <c r="D285" s="697">
        <v>41527</v>
      </c>
      <c r="E285" s="698">
        <v>838</v>
      </c>
      <c r="F285" s="699">
        <v>70.099999999999994</v>
      </c>
      <c r="G285" s="700">
        <f t="shared" si="63"/>
        <v>58743.799999999996</v>
      </c>
      <c r="H285" s="701"/>
      <c r="I285" s="719">
        <v>41544</v>
      </c>
      <c r="J285" s="699">
        <v>67.45</v>
      </c>
      <c r="K285" s="703">
        <f t="shared" si="64"/>
        <v>56523.100000000006</v>
      </c>
      <c r="L285" s="704">
        <f t="shared" si="66"/>
        <v>-2220.6999999999898</v>
      </c>
      <c r="M285" s="705">
        <v>1</v>
      </c>
      <c r="N285" s="813">
        <f t="shared" si="65"/>
        <v>-2220.6999999999898</v>
      </c>
      <c r="O285" s="718"/>
    </row>
    <row r="286" spans="1:16" s="551" customFormat="1" ht="15" customHeight="1">
      <c r="A286" s="690" t="s">
        <v>1137</v>
      </c>
      <c r="B286" s="612" t="s">
        <v>1136</v>
      </c>
      <c r="C286" s="612" t="s">
        <v>53</v>
      </c>
      <c r="D286" s="723">
        <v>41471</v>
      </c>
      <c r="E286" s="730">
        <v>596</v>
      </c>
      <c r="F286" s="722">
        <v>57.37</v>
      </c>
      <c r="G286" s="700">
        <f t="shared" ref="G286:G291" si="67">SUM(E286*F286)</f>
        <v>34192.519999999997</v>
      </c>
      <c r="H286" s="722"/>
      <c r="I286" s="719">
        <v>41548</v>
      </c>
      <c r="J286" s="731">
        <v>55.01</v>
      </c>
      <c r="K286" s="703">
        <f t="shared" ref="K286:K291" si="68">SUM(E286*J286)</f>
        <v>32785.96</v>
      </c>
      <c r="L286" s="704">
        <f t="shared" si="66"/>
        <v>-1406.5599999999977</v>
      </c>
      <c r="M286" s="705">
        <v>1</v>
      </c>
      <c r="N286" s="813">
        <f t="shared" ref="N286:N291" si="69">SUM(L286*M286)</f>
        <v>-1406.5599999999977</v>
      </c>
      <c r="O286" s="732"/>
      <c r="P286" s="550"/>
    </row>
    <row r="287" spans="1:16" s="546" customFormat="1" ht="15" customHeight="1">
      <c r="A287" s="690" t="s">
        <v>479</v>
      </c>
      <c r="B287" s="614" t="s">
        <v>480</v>
      </c>
      <c r="C287" s="614" t="s">
        <v>53</v>
      </c>
      <c r="D287" s="697">
        <v>41529</v>
      </c>
      <c r="E287" s="698">
        <v>521</v>
      </c>
      <c r="F287" s="699">
        <v>94.92</v>
      </c>
      <c r="G287" s="700">
        <f t="shared" si="67"/>
        <v>49453.32</v>
      </c>
      <c r="H287" s="701"/>
      <c r="I287" s="719">
        <v>41547</v>
      </c>
      <c r="J287" s="699">
        <v>93.27</v>
      </c>
      <c r="K287" s="703">
        <f t="shared" si="68"/>
        <v>48593.67</v>
      </c>
      <c r="L287" s="704">
        <f t="shared" si="66"/>
        <v>-859.65000000000146</v>
      </c>
      <c r="M287" s="705">
        <v>1</v>
      </c>
      <c r="N287" s="813">
        <f t="shared" si="69"/>
        <v>-859.65000000000146</v>
      </c>
      <c r="O287" s="718"/>
    </row>
    <row r="288" spans="1:16" s="546" customFormat="1" ht="15" customHeight="1">
      <c r="A288" s="690" t="s">
        <v>1334</v>
      </c>
      <c r="B288" s="614" t="s">
        <v>613</v>
      </c>
      <c r="C288" s="614" t="s">
        <v>53</v>
      </c>
      <c r="D288" s="697">
        <v>41527</v>
      </c>
      <c r="E288" s="698">
        <v>1262</v>
      </c>
      <c r="F288" s="699">
        <v>42.35</v>
      </c>
      <c r="G288" s="700">
        <f t="shared" si="67"/>
        <v>53445.700000000004</v>
      </c>
      <c r="H288" s="701"/>
      <c r="I288" s="719">
        <v>41554</v>
      </c>
      <c r="J288" s="699">
        <v>40.65</v>
      </c>
      <c r="K288" s="703">
        <f t="shared" si="68"/>
        <v>51300.299999999996</v>
      </c>
      <c r="L288" s="704">
        <f t="shared" si="66"/>
        <v>-2145.4000000000087</v>
      </c>
      <c r="M288" s="705">
        <v>1</v>
      </c>
      <c r="N288" s="813">
        <f t="shared" si="69"/>
        <v>-2145.4000000000087</v>
      </c>
      <c r="O288" s="718"/>
    </row>
    <row r="289" spans="1:16" s="546" customFormat="1" ht="15" customHeight="1">
      <c r="A289" s="690" t="s">
        <v>1352</v>
      </c>
      <c r="B289" s="614" t="s">
        <v>1355</v>
      </c>
      <c r="C289" s="614" t="s">
        <v>53</v>
      </c>
      <c r="D289" s="697">
        <v>41534</v>
      </c>
      <c r="E289" s="698">
        <v>280</v>
      </c>
      <c r="F289" s="699">
        <v>142.44999999999999</v>
      </c>
      <c r="G289" s="700">
        <f t="shared" si="67"/>
        <v>39886</v>
      </c>
      <c r="H289" s="701"/>
      <c r="I289" s="719">
        <v>41555</v>
      </c>
      <c r="J289" s="699">
        <v>134.21</v>
      </c>
      <c r="K289" s="703">
        <f t="shared" si="68"/>
        <v>37578.800000000003</v>
      </c>
      <c r="L289" s="704">
        <f t="shared" si="66"/>
        <v>-2307.1999999999971</v>
      </c>
      <c r="M289" s="705">
        <v>1</v>
      </c>
      <c r="N289" s="813">
        <f t="shared" si="69"/>
        <v>-2307.1999999999971</v>
      </c>
      <c r="O289" s="718"/>
    </row>
    <row r="290" spans="1:16" s="546" customFormat="1" ht="15" customHeight="1">
      <c r="A290" s="690" t="s">
        <v>1379</v>
      </c>
      <c r="B290" s="614" t="s">
        <v>1378</v>
      </c>
      <c r="C290" s="614" t="s">
        <v>53</v>
      </c>
      <c r="D290" s="697">
        <v>41548</v>
      </c>
      <c r="E290" s="698">
        <v>630</v>
      </c>
      <c r="F290" s="699">
        <v>108.48</v>
      </c>
      <c r="G290" s="700">
        <f t="shared" si="67"/>
        <v>68342.400000000009</v>
      </c>
      <c r="H290" s="701"/>
      <c r="I290" s="719">
        <v>41556</v>
      </c>
      <c r="J290" s="699">
        <v>104.78</v>
      </c>
      <c r="K290" s="703">
        <f t="shared" si="68"/>
        <v>66011.399999999994</v>
      </c>
      <c r="L290" s="704">
        <f t="shared" si="66"/>
        <v>-2331.0000000000146</v>
      </c>
      <c r="M290" s="705">
        <v>1</v>
      </c>
      <c r="N290" s="813">
        <f t="shared" si="69"/>
        <v>-2331.0000000000146</v>
      </c>
      <c r="O290" s="718"/>
    </row>
    <row r="291" spans="1:16" s="551" customFormat="1" ht="15" customHeight="1">
      <c r="A291" s="690" t="s">
        <v>1193</v>
      </c>
      <c r="B291" s="612" t="s">
        <v>1194</v>
      </c>
      <c r="C291" s="612" t="s">
        <v>53</v>
      </c>
      <c r="D291" s="723">
        <v>41470</v>
      </c>
      <c r="E291" s="730">
        <v>1407</v>
      </c>
      <c r="F291" s="722">
        <v>40.06</v>
      </c>
      <c r="G291" s="700">
        <f t="shared" si="67"/>
        <v>56364.420000000006</v>
      </c>
      <c r="H291" s="722"/>
      <c r="I291" s="719">
        <v>41556</v>
      </c>
      <c r="J291" s="731">
        <v>41.24</v>
      </c>
      <c r="K291" s="703">
        <f t="shared" si="68"/>
        <v>58024.68</v>
      </c>
      <c r="L291" s="704">
        <f>SUM(K291-G291)</f>
        <v>1660.2599999999948</v>
      </c>
      <c r="M291" s="705">
        <v>1</v>
      </c>
      <c r="N291" s="813">
        <f t="shared" si="69"/>
        <v>1660.2599999999948</v>
      </c>
      <c r="O291" s="732"/>
      <c r="P291" s="550"/>
    </row>
    <row r="292" spans="1:16" s="548" customFormat="1" ht="15" customHeight="1">
      <c r="A292" s="696" t="s">
        <v>1380</v>
      </c>
      <c r="B292" s="613" t="s">
        <v>1381</v>
      </c>
      <c r="C292" s="613" t="s">
        <v>78</v>
      </c>
      <c r="D292" s="707">
        <v>41550</v>
      </c>
      <c r="E292" s="696">
        <v>1792</v>
      </c>
      <c r="F292" s="708">
        <v>31.2</v>
      </c>
      <c r="G292" s="709">
        <f t="shared" ref="G292:G297" si="70">SUM(E292*F292)</f>
        <v>55910.400000000001</v>
      </c>
      <c r="H292" s="710"/>
      <c r="I292" s="719">
        <v>41557</v>
      </c>
      <c r="J292" s="708">
        <v>32.5</v>
      </c>
      <c r="K292" s="711">
        <f t="shared" ref="K292:K297" si="71">SUM(E292*J292)</f>
        <v>58240</v>
      </c>
      <c r="L292" s="713">
        <f>SUM(G292-K292)</f>
        <v>-2329.5999999999985</v>
      </c>
      <c r="M292" s="712">
        <v>1</v>
      </c>
      <c r="N292" s="812">
        <f t="shared" ref="N292:N297" si="72">SUM(L292*M292)</f>
        <v>-2329.5999999999985</v>
      </c>
      <c r="O292" s="706"/>
    </row>
    <row r="293" spans="1:16" s="546" customFormat="1" ht="15" customHeight="1">
      <c r="A293" s="690" t="s">
        <v>1396</v>
      </c>
      <c r="B293" s="614" t="s">
        <v>1397</v>
      </c>
      <c r="C293" s="614" t="s">
        <v>53</v>
      </c>
      <c r="D293" s="697">
        <v>41563</v>
      </c>
      <c r="E293" s="698">
        <v>2048</v>
      </c>
      <c r="F293" s="699">
        <v>71.900000000000006</v>
      </c>
      <c r="G293" s="700">
        <f t="shared" si="70"/>
        <v>147251.20000000001</v>
      </c>
      <c r="H293" s="701"/>
      <c r="I293" s="719">
        <v>41572</v>
      </c>
      <c r="J293" s="699">
        <v>70.62</v>
      </c>
      <c r="K293" s="703">
        <f t="shared" si="71"/>
        <v>144629.76000000001</v>
      </c>
      <c r="L293" s="704">
        <f t="shared" ref="L293:L298" si="73">SUM(K293-G293)</f>
        <v>-2621.4400000000023</v>
      </c>
      <c r="M293" s="705">
        <v>1</v>
      </c>
      <c r="N293" s="813">
        <f t="shared" si="72"/>
        <v>-2621.4400000000023</v>
      </c>
      <c r="O293" s="718"/>
    </row>
    <row r="294" spans="1:16" s="546" customFormat="1" ht="15" customHeight="1">
      <c r="A294" s="690" t="s">
        <v>1404</v>
      </c>
      <c r="B294" s="614" t="s">
        <v>1403</v>
      </c>
      <c r="C294" s="614" t="s">
        <v>53</v>
      </c>
      <c r="D294" s="697">
        <v>41563</v>
      </c>
      <c r="E294" s="698">
        <v>595</v>
      </c>
      <c r="F294" s="699">
        <v>131.9</v>
      </c>
      <c r="G294" s="700">
        <f t="shared" si="70"/>
        <v>78480.5</v>
      </c>
      <c r="H294" s="701"/>
      <c r="I294" s="719">
        <v>41571</v>
      </c>
      <c r="J294" s="699">
        <v>125.8</v>
      </c>
      <c r="K294" s="703">
        <f t="shared" si="71"/>
        <v>74851</v>
      </c>
      <c r="L294" s="704">
        <f t="shared" si="73"/>
        <v>-3629.5</v>
      </c>
      <c r="M294" s="705">
        <v>1</v>
      </c>
      <c r="N294" s="813">
        <f t="shared" si="72"/>
        <v>-3629.5</v>
      </c>
      <c r="O294" s="718"/>
    </row>
    <row r="295" spans="1:16" s="546" customFormat="1" ht="15" customHeight="1">
      <c r="A295" s="690" t="s">
        <v>1400</v>
      </c>
      <c r="B295" s="614" t="s">
        <v>617</v>
      </c>
      <c r="C295" s="614" t="s">
        <v>53</v>
      </c>
      <c r="D295" s="697">
        <v>41565</v>
      </c>
      <c r="E295" s="698">
        <v>857</v>
      </c>
      <c r="F295" s="699">
        <v>81.88</v>
      </c>
      <c r="G295" s="700">
        <f t="shared" si="70"/>
        <v>70171.159999999989</v>
      </c>
      <c r="H295" s="701"/>
      <c r="I295" s="719">
        <v>41570</v>
      </c>
      <c r="J295" s="699">
        <v>78.86</v>
      </c>
      <c r="K295" s="703">
        <f t="shared" si="71"/>
        <v>67583.02</v>
      </c>
      <c r="L295" s="704">
        <f t="shared" si="73"/>
        <v>-2588.1399999999849</v>
      </c>
      <c r="M295" s="705">
        <v>1</v>
      </c>
      <c r="N295" s="813">
        <f t="shared" si="72"/>
        <v>-2588.1399999999849</v>
      </c>
      <c r="O295" s="718"/>
    </row>
    <row r="296" spans="1:16" s="551" customFormat="1" ht="15" customHeight="1">
      <c r="A296" s="690" t="s">
        <v>1195</v>
      </c>
      <c r="B296" s="612" t="s">
        <v>647</v>
      </c>
      <c r="C296" s="612" t="s">
        <v>53</v>
      </c>
      <c r="D296" s="723">
        <v>41478</v>
      </c>
      <c r="E296" s="715">
        <v>906</v>
      </c>
      <c r="F296" s="722">
        <v>47.63</v>
      </c>
      <c r="G296" s="700">
        <f t="shared" si="70"/>
        <v>43152.78</v>
      </c>
      <c r="H296" s="722"/>
      <c r="I296" s="719">
        <v>41579</v>
      </c>
      <c r="J296" s="731">
        <v>48.67</v>
      </c>
      <c r="K296" s="703">
        <f t="shared" si="71"/>
        <v>44095.020000000004</v>
      </c>
      <c r="L296" s="704">
        <f t="shared" si="73"/>
        <v>942.24000000000524</v>
      </c>
      <c r="M296" s="705">
        <v>1</v>
      </c>
      <c r="N296" s="813">
        <f t="shared" si="72"/>
        <v>942.24000000000524</v>
      </c>
      <c r="O296" s="732"/>
      <c r="P296" s="550"/>
    </row>
    <row r="297" spans="1:16" s="546" customFormat="1" ht="15" customHeight="1">
      <c r="A297" s="690" t="s">
        <v>1450</v>
      </c>
      <c r="B297" s="614" t="s">
        <v>1451</v>
      </c>
      <c r="C297" s="614" t="s">
        <v>53</v>
      </c>
      <c r="D297" s="697">
        <v>41578</v>
      </c>
      <c r="E297" s="698">
        <v>1030</v>
      </c>
      <c r="F297" s="699">
        <v>74.02</v>
      </c>
      <c r="G297" s="700">
        <f t="shared" si="70"/>
        <v>76240.599999999991</v>
      </c>
      <c r="H297" s="701"/>
      <c r="I297" s="719">
        <v>41578</v>
      </c>
      <c r="J297" s="699">
        <v>71.38</v>
      </c>
      <c r="K297" s="703">
        <f t="shared" si="71"/>
        <v>73521.399999999994</v>
      </c>
      <c r="L297" s="704">
        <f t="shared" si="73"/>
        <v>-2719.1999999999971</v>
      </c>
      <c r="M297" s="705">
        <v>1</v>
      </c>
      <c r="N297" s="813">
        <f t="shared" si="72"/>
        <v>-2719.1999999999971</v>
      </c>
      <c r="O297" s="718"/>
    </row>
    <row r="298" spans="1:16" s="546" customFormat="1" ht="15" customHeight="1">
      <c r="A298" s="690" t="s">
        <v>1390</v>
      </c>
      <c r="B298" s="614" t="s">
        <v>1391</v>
      </c>
      <c r="C298" s="614" t="s">
        <v>53</v>
      </c>
      <c r="D298" s="697">
        <v>41563</v>
      </c>
      <c r="E298" s="698">
        <v>671</v>
      </c>
      <c r="F298" s="699">
        <v>76.849999999999994</v>
      </c>
      <c r="G298" s="700">
        <f>SUM(E298*F298)</f>
        <v>51566.35</v>
      </c>
      <c r="H298" s="701"/>
      <c r="I298" s="719">
        <v>41575</v>
      </c>
      <c r="J298" s="699">
        <v>71.930000000000007</v>
      </c>
      <c r="K298" s="703">
        <f>SUM(E298*J298)</f>
        <v>48265.030000000006</v>
      </c>
      <c r="L298" s="704">
        <f t="shared" si="73"/>
        <v>-3301.3199999999924</v>
      </c>
      <c r="M298" s="705">
        <v>1</v>
      </c>
      <c r="N298" s="813">
        <f>SUM(L298*M298)</f>
        <v>-3301.3199999999924</v>
      </c>
      <c r="O298" s="718"/>
    </row>
    <row r="299" spans="1:16" s="546" customFormat="1" ht="15" customHeight="1">
      <c r="A299" s="690" t="s">
        <v>1434</v>
      </c>
      <c r="B299" s="614" t="s">
        <v>1435</v>
      </c>
      <c r="C299" s="614" t="s">
        <v>53</v>
      </c>
      <c r="D299" s="697">
        <v>41568</v>
      </c>
      <c r="E299" s="698">
        <v>2765</v>
      </c>
      <c r="F299" s="699">
        <v>15.98</v>
      </c>
      <c r="G299" s="700">
        <f t="shared" ref="G299:G305" si="74">SUM(E299*F299)</f>
        <v>44184.700000000004</v>
      </c>
      <c r="H299" s="701"/>
      <c r="I299" s="719">
        <v>41579</v>
      </c>
      <c r="J299" s="699">
        <v>14.98</v>
      </c>
      <c r="K299" s="703">
        <f t="shared" ref="K299:K305" si="75">SUM(E299*J299)</f>
        <v>41419.700000000004</v>
      </c>
      <c r="L299" s="704">
        <f t="shared" ref="L299:L305" si="76">SUM(K299-G299)</f>
        <v>-2765</v>
      </c>
      <c r="M299" s="705">
        <v>1</v>
      </c>
      <c r="N299" s="813">
        <f t="shared" ref="N299:N305" si="77">SUM(L299*M299)</f>
        <v>-2765</v>
      </c>
      <c r="O299" s="718"/>
    </row>
    <row r="300" spans="1:16" s="546" customFormat="1" ht="15" customHeight="1">
      <c r="A300" s="690" t="s">
        <v>1442</v>
      </c>
      <c r="B300" s="614" t="s">
        <v>1220</v>
      </c>
      <c r="C300" s="614" t="s">
        <v>53</v>
      </c>
      <c r="D300" s="697">
        <v>41571</v>
      </c>
      <c r="E300" s="698">
        <v>2160</v>
      </c>
      <c r="F300" s="699">
        <v>36.590000000000003</v>
      </c>
      <c r="G300" s="700">
        <f t="shared" si="74"/>
        <v>79034.400000000009</v>
      </c>
      <c r="H300" s="701"/>
      <c r="I300" s="719">
        <v>41583</v>
      </c>
      <c r="J300" s="699">
        <v>35.31</v>
      </c>
      <c r="K300" s="703">
        <f t="shared" si="75"/>
        <v>76269.600000000006</v>
      </c>
      <c r="L300" s="704">
        <f t="shared" si="76"/>
        <v>-2764.8000000000029</v>
      </c>
      <c r="M300" s="705">
        <v>1</v>
      </c>
      <c r="N300" s="813">
        <f t="shared" si="77"/>
        <v>-2764.8000000000029</v>
      </c>
      <c r="O300" s="718"/>
    </row>
    <row r="301" spans="1:16" s="546" customFormat="1" ht="15" customHeight="1">
      <c r="A301" s="690" t="s">
        <v>1407</v>
      </c>
      <c r="B301" s="614" t="s">
        <v>1408</v>
      </c>
      <c r="C301" s="614" t="s">
        <v>53</v>
      </c>
      <c r="D301" s="697">
        <v>41562</v>
      </c>
      <c r="E301" s="698">
        <v>1328</v>
      </c>
      <c r="F301" s="699">
        <v>40.92</v>
      </c>
      <c r="G301" s="700">
        <f t="shared" si="74"/>
        <v>54341.760000000002</v>
      </c>
      <c r="H301" s="701"/>
      <c r="I301" s="719">
        <v>41584</v>
      </c>
      <c r="J301" s="699">
        <v>38.19</v>
      </c>
      <c r="K301" s="703">
        <f t="shared" si="75"/>
        <v>50716.32</v>
      </c>
      <c r="L301" s="704">
        <f t="shared" si="76"/>
        <v>-3625.4400000000023</v>
      </c>
      <c r="M301" s="705">
        <v>1</v>
      </c>
      <c r="N301" s="813">
        <f t="shared" si="77"/>
        <v>-3625.4400000000023</v>
      </c>
      <c r="O301" s="718"/>
    </row>
    <row r="302" spans="1:16" s="546" customFormat="1" ht="15" customHeight="1">
      <c r="A302" s="690" t="s">
        <v>1440</v>
      </c>
      <c r="B302" s="614" t="s">
        <v>1441</v>
      </c>
      <c r="C302" s="614" t="s">
        <v>53</v>
      </c>
      <c r="D302" s="697">
        <v>41569</v>
      </c>
      <c r="E302" s="698">
        <v>2765</v>
      </c>
      <c r="F302" s="699">
        <v>26.01</v>
      </c>
      <c r="G302" s="700">
        <f t="shared" si="74"/>
        <v>71917.650000000009</v>
      </c>
      <c r="H302" s="701"/>
      <c r="I302" s="719">
        <v>41585</v>
      </c>
      <c r="J302" s="699">
        <v>25.01</v>
      </c>
      <c r="K302" s="703">
        <f t="shared" si="75"/>
        <v>69152.650000000009</v>
      </c>
      <c r="L302" s="704">
        <f t="shared" si="76"/>
        <v>-2765</v>
      </c>
      <c r="M302" s="705">
        <v>1</v>
      </c>
      <c r="N302" s="813">
        <f t="shared" si="77"/>
        <v>-2765</v>
      </c>
      <c r="O302" s="718"/>
    </row>
    <row r="303" spans="1:16" s="546" customFormat="1" ht="15" customHeight="1">
      <c r="A303" s="690" t="s">
        <v>1380</v>
      </c>
      <c r="B303" s="614" t="s">
        <v>1381</v>
      </c>
      <c r="C303" s="614" t="s">
        <v>53</v>
      </c>
      <c r="D303" s="697">
        <v>41576</v>
      </c>
      <c r="E303" s="698">
        <v>1063</v>
      </c>
      <c r="F303" s="699">
        <v>34.67</v>
      </c>
      <c r="G303" s="700">
        <f t="shared" si="74"/>
        <v>36854.21</v>
      </c>
      <c r="H303" s="701"/>
      <c r="I303" s="719">
        <v>41585</v>
      </c>
      <c r="J303" s="699">
        <v>32.78</v>
      </c>
      <c r="K303" s="703">
        <f t="shared" si="75"/>
        <v>34845.14</v>
      </c>
      <c r="L303" s="704">
        <f t="shared" si="76"/>
        <v>-2009.0699999999997</v>
      </c>
      <c r="M303" s="705">
        <v>1</v>
      </c>
      <c r="N303" s="813">
        <f t="shared" si="77"/>
        <v>-2009.0699999999997</v>
      </c>
      <c r="O303" s="718"/>
    </row>
    <row r="304" spans="1:16" s="546" customFormat="1" ht="15" customHeight="1">
      <c r="A304" s="690" t="s">
        <v>1303</v>
      </c>
      <c r="B304" s="614" t="s">
        <v>1302</v>
      </c>
      <c r="C304" s="614" t="s">
        <v>53</v>
      </c>
      <c r="D304" s="697">
        <v>41512</v>
      </c>
      <c r="E304" s="698">
        <v>326</v>
      </c>
      <c r="F304" s="699">
        <v>144.63</v>
      </c>
      <c r="G304" s="700">
        <f t="shared" si="74"/>
        <v>47149.38</v>
      </c>
      <c r="H304" s="701"/>
      <c r="I304" s="719">
        <v>41597</v>
      </c>
      <c r="J304" s="699">
        <v>159</v>
      </c>
      <c r="K304" s="703">
        <f t="shared" si="75"/>
        <v>51834</v>
      </c>
      <c r="L304" s="704">
        <f t="shared" si="76"/>
        <v>4684.6200000000026</v>
      </c>
      <c r="M304" s="705">
        <v>1</v>
      </c>
      <c r="N304" s="813">
        <f t="shared" si="77"/>
        <v>4684.6200000000026</v>
      </c>
      <c r="O304" s="718"/>
    </row>
    <row r="305" spans="1:16" s="546" customFormat="1" ht="15" customHeight="1">
      <c r="A305" s="690" t="s">
        <v>1349</v>
      </c>
      <c r="B305" s="614" t="s">
        <v>1358</v>
      </c>
      <c r="C305" s="614" t="s">
        <v>53</v>
      </c>
      <c r="D305" s="697">
        <v>41533</v>
      </c>
      <c r="E305" s="698">
        <v>924</v>
      </c>
      <c r="F305" s="699">
        <v>56.27</v>
      </c>
      <c r="G305" s="700">
        <f t="shared" si="74"/>
        <v>51993.48</v>
      </c>
      <c r="H305" s="701"/>
      <c r="I305" s="719">
        <v>41599</v>
      </c>
      <c r="J305" s="699">
        <v>56.82</v>
      </c>
      <c r="K305" s="703">
        <f t="shared" si="75"/>
        <v>52501.68</v>
      </c>
      <c r="L305" s="704">
        <f t="shared" si="76"/>
        <v>508.19999999999709</v>
      </c>
      <c r="M305" s="705">
        <v>1</v>
      </c>
      <c r="N305" s="813">
        <f t="shared" si="77"/>
        <v>508.19999999999709</v>
      </c>
      <c r="O305" s="718"/>
    </row>
    <row r="306" spans="1:16" s="553" customFormat="1" ht="15" customHeight="1">
      <c r="A306" s="734" t="s">
        <v>564</v>
      </c>
      <c r="B306" s="554" t="s">
        <v>565</v>
      </c>
      <c r="C306" s="554" t="s">
        <v>53</v>
      </c>
      <c r="D306" s="735">
        <v>41506</v>
      </c>
      <c r="E306" s="736">
        <v>854</v>
      </c>
      <c r="F306" s="737">
        <v>47.76</v>
      </c>
      <c r="G306" s="738">
        <f t="shared" ref="G306:G314" si="78">SUM(E306*F306)</f>
        <v>40787.040000000001</v>
      </c>
      <c r="H306" s="739"/>
      <c r="I306" s="740">
        <v>41604</v>
      </c>
      <c r="J306" s="737">
        <v>52.85</v>
      </c>
      <c r="K306" s="741">
        <f t="shared" ref="K306:K314" si="79">SUM(E306*J306)</f>
        <v>45133.9</v>
      </c>
      <c r="L306" s="742">
        <f t="shared" ref="L306:L314" si="80">SUM(K306-G306)</f>
        <v>4346.8600000000006</v>
      </c>
      <c r="M306" s="743">
        <v>1</v>
      </c>
      <c r="N306" s="817">
        <f t="shared" ref="N306:N314" si="81">SUM(L306*M306)</f>
        <v>4346.8600000000006</v>
      </c>
      <c r="O306" s="744"/>
    </row>
    <row r="307" spans="1:16" s="553" customFormat="1" ht="15" customHeight="1">
      <c r="A307" s="734" t="s">
        <v>1399</v>
      </c>
      <c r="B307" s="554" t="s">
        <v>1398</v>
      </c>
      <c r="C307" s="554" t="s">
        <v>53</v>
      </c>
      <c r="D307" s="735">
        <v>41563</v>
      </c>
      <c r="E307" s="736">
        <v>888</v>
      </c>
      <c r="F307" s="737">
        <v>69.790000000000006</v>
      </c>
      <c r="G307" s="738">
        <f t="shared" si="78"/>
        <v>61973.520000000004</v>
      </c>
      <c r="H307" s="739"/>
      <c r="I307" s="740">
        <v>41605</v>
      </c>
      <c r="J307" s="737">
        <v>70.37</v>
      </c>
      <c r="K307" s="741">
        <f t="shared" si="79"/>
        <v>62488.560000000005</v>
      </c>
      <c r="L307" s="742">
        <f t="shared" si="80"/>
        <v>515.04000000000087</v>
      </c>
      <c r="M307" s="743">
        <v>1</v>
      </c>
      <c r="N307" s="817">
        <f t="shared" si="81"/>
        <v>515.04000000000087</v>
      </c>
      <c r="O307" s="744"/>
    </row>
    <row r="308" spans="1:16" s="553" customFormat="1" ht="15" customHeight="1">
      <c r="A308" s="734" t="s">
        <v>1411</v>
      </c>
      <c r="B308" s="554" t="s">
        <v>1412</v>
      </c>
      <c r="C308" s="554" t="s">
        <v>53</v>
      </c>
      <c r="D308" s="735">
        <v>41563</v>
      </c>
      <c r="E308" s="736">
        <v>709</v>
      </c>
      <c r="F308" s="737">
        <v>91.42</v>
      </c>
      <c r="G308" s="738">
        <f t="shared" si="78"/>
        <v>64816.78</v>
      </c>
      <c r="H308" s="739"/>
      <c r="I308" s="740">
        <v>41605</v>
      </c>
      <c r="J308" s="737">
        <v>88.04</v>
      </c>
      <c r="K308" s="741">
        <f t="shared" si="79"/>
        <v>62420.360000000008</v>
      </c>
      <c r="L308" s="742">
        <f t="shared" si="80"/>
        <v>-2396.419999999991</v>
      </c>
      <c r="M308" s="743">
        <v>1</v>
      </c>
      <c r="N308" s="817">
        <f t="shared" si="81"/>
        <v>-2396.419999999991</v>
      </c>
      <c r="O308" s="744"/>
    </row>
    <row r="309" spans="1:16" s="115" customFormat="1" ht="15" customHeight="1">
      <c r="A309" s="642" t="s">
        <v>1406</v>
      </c>
      <c r="B309" s="554" t="s">
        <v>1405</v>
      </c>
      <c r="C309" s="392" t="s">
        <v>53</v>
      </c>
      <c r="D309" s="569">
        <v>41563</v>
      </c>
      <c r="E309" s="570">
        <v>698</v>
      </c>
      <c r="F309" s="643">
        <v>97.3</v>
      </c>
      <c r="G309" s="644">
        <f t="shared" si="78"/>
        <v>67915.399999999994</v>
      </c>
      <c r="H309" s="573"/>
      <c r="I309" s="608">
        <v>41612</v>
      </c>
      <c r="J309" s="643">
        <v>93.84</v>
      </c>
      <c r="K309" s="645">
        <f t="shared" si="79"/>
        <v>65500.32</v>
      </c>
      <c r="L309" s="646">
        <f t="shared" si="80"/>
        <v>-2415.0799999999945</v>
      </c>
      <c r="M309" s="647">
        <v>1</v>
      </c>
      <c r="N309" s="576">
        <f t="shared" si="81"/>
        <v>-2415.0799999999945</v>
      </c>
      <c r="O309" s="664"/>
    </row>
    <row r="310" spans="1:16" s="115" customFormat="1" ht="15" customHeight="1">
      <c r="A310" s="642" t="s">
        <v>1476</v>
      </c>
      <c r="B310" s="555" t="s">
        <v>1475</v>
      </c>
      <c r="C310" s="581" t="s">
        <v>53</v>
      </c>
      <c r="D310" s="578">
        <v>41596</v>
      </c>
      <c r="E310" s="579">
        <v>1566</v>
      </c>
      <c r="F310" s="662">
        <v>88.92</v>
      </c>
      <c r="G310" s="644">
        <f t="shared" si="78"/>
        <v>139248.72</v>
      </c>
      <c r="H310" s="573"/>
      <c r="I310" s="609">
        <v>41612</v>
      </c>
      <c r="J310" s="662">
        <v>86.18</v>
      </c>
      <c r="K310" s="645">
        <f t="shared" si="79"/>
        <v>134957.88</v>
      </c>
      <c r="L310" s="646">
        <f t="shared" si="80"/>
        <v>-4290.8399999999965</v>
      </c>
      <c r="M310" s="663">
        <v>1</v>
      </c>
      <c r="N310" s="576">
        <f t="shared" si="81"/>
        <v>-4290.8399999999965</v>
      </c>
      <c r="O310" s="664"/>
    </row>
    <row r="311" spans="1:16" s="115" customFormat="1" ht="15" customHeight="1">
      <c r="A311" s="642" t="s">
        <v>1319</v>
      </c>
      <c r="B311" s="555" t="s">
        <v>1320</v>
      </c>
      <c r="C311" s="581" t="s">
        <v>53</v>
      </c>
      <c r="D311" s="578">
        <v>41603</v>
      </c>
      <c r="E311" s="579">
        <v>1603</v>
      </c>
      <c r="F311" s="662">
        <v>72.81</v>
      </c>
      <c r="G311" s="644">
        <f t="shared" si="78"/>
        <v>116714.43000000001</v>
      </c>
      <c r="H311" s="573"/>
      <c r="I311" s="609">
        <v>41612</v>
      </c>
      <c r="J311" s="662">
        <v>70.010000000000005</v>
      </c>
      <c r="K311" s="645">
        <f t="shared" si="79"/>
        <v>112226.03000000001</v>
      </c>
      <c r="L311" s="646">
        <f t="shared" si="80"/>
        <v>-4488.3999999999942</v>
      </c>
      <c r="M311" s="663">
        <v>1</v>
      </c>
      <c r="N311" s="576">
        <f t="shared" si="81"/>
        <v>-4488.3999999999942</v>
      </c>
      <c r="O311" s="664"/>
    </row>
    <row r="312" spans="1:16" s="115" customFormat="1" ht="15" customHeight="1">
      <c r="A312" s="642" t="s">
        <v>1348</v>
      </c>
      <c r="B312" s="554" t="s">
        <v>1227</v>
      </c>
      <c r="C312" s="392" t="s">
        <v>53</v>
      </c>
      <c r="D312" s="569">
        <v>41533</v>
      </c>
      <c r="E312" s="570">
        <v>1582</v>
      </c>
      <c r="F312" s="643">
        <v>50.46</v>
      </c>
      <c r="G312" s="644">
        <f t="shared" si="78"/>
        <v>79827.72</v>
      </c>
      <c r="H312" s="573"/>
      <c r="I312" s="608">
        <v>41612</v>
      </c>
      <c r="J312" s="643">
        <v>54.38</v>
      </c>
      <c r="K312" s="645">
        <f t="shared" si="79"/>
        <v>86029.16</v>
      </c>
      <c r="L312" s="646">
        <f t="shared" si="80"/>
        <v>6201.4400000000023</v>
      </c>
      <c r="M312" s="647">
        <v>1</v>
      </c>
      <c r="N312" s="576">
        <f t="shared" si="81"/>
        <v>6201.4400000000023</v>
      </c>
      <c r="O312" s="648"/>
      <c r="P312" s="322"/>
    </row>
    <row r="313" spans="1:16" s="115" customFormat="1" ht="15" customHeight="1">
      <c r="A313" s="642" t="s">
        <v>1015</v>
      </c>
      <c r="B313" s="555" t="s">
        <v>1016</v>
      </c>
      <c r="C313" s="581" t="s">
        <v>53</v>
      </c>
      <c r="D313" s="578">
        <v>41583</v>
      </c>
      <c r="E313" s="579">
        <v>1090</v>
      </c>
      <c r="F313" s="662">
        <v>65.11</v>
      </c>
      <c r="G313" s="644">
        <f t="shared" si="78"/>
        <v>70969.899999999994</v>
      </c>
      <c r="H313" s="573"/>
      <c r="I313" s="609">
        <v>41613</v>
      </c>
      <c r="J313" s="662">
        <v>63.26</v>
      </c>
      <c r="K313" s="645">
        <f t="shared" si="79"/>
        <v>68953.399999999994</v>
      </c>
      <c r="L313" s="646">
        <f t="shared" si="80"/>
        <v>-2016.5</v>
      </c>
      <c r="M313" s="663">
        <v>1</v>
      </c>
      <c r="N313" s="576">
        <f t="shared" si="81"/>
        <v>-2016.5</v>
      </c>
      <c r="O313" s="664"/>
    </row>
    <row r="314" spans="1:16" ht="15" customHeight="1">
      <c r="A314" s="642" t="s">
        <v>611</v>
      </c>
      <c r="B314" s="555" t="s">
        <v>221</v>
      </c>
      <c r="C314" s="581" t="s">
        <v>53</v>
      </c>
      <c r="D314" s="578">
        <v>41593</v>
      </c>
      <c r="E314" s="579">
        <v>1117</v>
      </c>
      <c r="F314" s="662">
        <v>92.85</v>
      </c>
      <c r="G314" s="644">
        <f t="shared" si="78"/>
        <v>103713.45</v>
      </c>
      <c r="H314" s="573"/>
      <c r="I314" s="609">
        <v>41613</v>
      </c>
      <c r="J314" s="662">
        <v>89.35</v>
      </c>
      <c r="K314" s="645">
        <f t="shared" si="79"/>
        <v>99803.95</v>
      </c>
      <c r="L314" s="646">
        <f t="shared" si="80"/>
        <v>-3909.5</v>
      </c>
      <c r="M314" s="663">
        <v>1</v>
      </c>
      <c r="N314" s="576">
        <f t="shared" si="81"/>
        <v>-3909.5</v>
      </c>
      <c r="O314" s="664"/>
      <c r="P314" s="115"/>
    </row>
    <row r="315" spans="1:16" s="115" customFormat="1" ht="15" customHeight="1">
      <c r="A315" s="425" t="s">
        <v>1494</v>
      </c>
      <c r="B315" s="555" t="s">
        <v>1495</v>
      </c>
      <c r="C315" s="446" t="s">
        <v>53</v>
      </c>
      <c r="D315" s="447">
        <v>41609</v>
      </c>
      <c r="E315" s="448">
        <v>827</v>
      </c>
      <c r="F315" s="655">
        <v>0</v>
      </c>
      <c r="G315" s="656">
        <f t="shared" ref="G315:G322" si="82">SUM(E315*F315)</f>
        <v>0</v>
      </c>
      <c r="H315" s="451"/>
      <c r="I315" s="534">
        <v>41617</v>
      </c>
      <c r="J315" s="655">
        <v>40.6</v>
      </c>
      <c r="K315" s="636">
        <f t="shared" ref="K315:K322" si="83">SUM(E315*J315)</f>
        <v>33576.200000000004</v>
      </c>
      <c r="L315" s="637">
        <f>SUM(K315-G315)</f>
        <v>33576.200000000004</v>
      </c>
      <c r="M315" s="657">
        <v>1</v>
      </c>
      <c r="N315" s="454">
        <f t="shared" ref="N315:N322" si="84">SUM(L315*M315)</f>
        <v>33576.200000000004</v>
      </c>
      <c r="O315" s="442" t="s">
        <v>1503</v>
      </c>
    </row>
    <row r="316" spans="1:16" ht="15" customHeight="1">
      <c r="A316" s="484" t="s">
        <v>1496</v>
      </c>
      <c r="B316" s="605" t="s">
        <v>1497</v>
      </c>
      <c r="C316" s="457" t="s">
        <v>78</v>
      </c>
      <c r="D316" s="458">
        <v>41611</v>
      </c>
      <c r="E316" s="459">
        <v>3915</v>
      </c>
      <c r="F316" s="649">
        <v>32.89</v>
      </c>
      <c r="G316" s="650">
        <f t="shared" si="82"/>
        <v>128764.35</v>
      </c>
      <c r="H316" s="462"/>
      <c r="I316" s="534">
        <v>41617</v>
      </c>
      <c r="J316" s="649">
        <v>34.1</v>
      </c>
      <c r="K316" s="651">
        <f t="shared" si="83"/>
        <v>133501.5</v>
      </c>
      <c r="L316" s="652">
        <f>SUM(G316-K316)</f>
        <v>-4737.1499999999942</v>
      </c>
      <c r="M316" s="653">
        <v>1</v>
      </c>
      <c r="N316" s="465">
        <f t="shared" si="84"/>
        <v>-4737.1499999999942</v>
      </c>
      <c r="O316" s="654"/>
      <c r="P316" s="117"/>
    </row>
    <row r="317" spans="1:16" ht="15" customHeight="1">
      <c r="A317" s="642" t="s">
        <v>1462</v>
      </c>
      <c r="B317" s="555" t="s">
        <v>1463</v>
      </c>
      <c r="C317" s="581" t="s">
        <v>53</v>
      </c>
      <c r="D317" s="578">
        <v>41593</v>
      </c>
      <c r="E317" s="579">
        <v>1303</v>
      </c>
      <c r="F317" s="662">
        <v>48.6</v>
      </c>
      <c r="G317" s="644">
        <f t="shared" si="82"/>
        <v>63325.8</v>
      </c>
      <c r="H317" s="573"/>
      <c r="I317" s="609">
        <v>41618</v>
      </c>
      <c r="J317" s="662">
        <v>45.6</v>
      </c>
      <c r="K317" s="645">
        <f t="shared" si="83"/>
        <v>59416.800000000003</v>
      </c>
      <c r="L317" s="646">
        <f t="shared" ref="L317:L322" si="85">SUM(K317-G317)</f>
        <v>-3909</v>
      </c>
      <c r="M317" s="663">
        <v>1</v>
      </c>
      <c r="N317" s="576">
        <f t="shared" si="84"/>
        <v>-3909</v>
      </c>
      <c r="O317" s="664"/>
      <c r="P317" s="115"/>
    </row>
    <row r="318" spans="1:16" ht="15" customHeight="1">
      <c r="A318" s="642" t="s">
        <v>963</v>
      </c>
      <c r="B318" s="554" t="s">
        <v>964</v>
      </c>
      <c r="C318" s="392" t="s">
        <v>53</v>
      </c>
      <c r="D318" s="569">
        <v>41310</v>
      </c>
      <c r="E318" s="570">
        <v>555</v>
      </c>
      <c r="F318" s="643">
        <v>60.86</v>
      </c>
      <c r="G318" s="644">
        <f t="shared" si="82"/>
        <v>33777.300000000003</v>
      </c>
      <c r="H318" s="573"/>
      <c r="I318" s="608">
        <v>41619</v>
      </c>
      <c r="J318" s="645">
        <v>78</v>
      </c>
      <c r="K318" s="645">
        <f t="shared" si="83"/>
        <v>43290</v>
      </c>
      <c r="L318" s="646">
        <f t="shared" si="85"/>
        <v>9512.6999999999971</v>
      </c>
      <c r="M318" s="647">
        <v>1</v>
      </c>
      <c r="N318" s="576">
        <f t="shared" si="84"/>
        <v>9512.6999999999971</v>
      </c>
      <c r="O318" s="648"/>
      <c r="P318" s="322"/>
    </row>
    <row r="319" spans="1:16" s="115" customFormat="1" ht="15" customHeight="1">
      <c r="A319" s="642" t="s">
        <v>1483</v>
      </c>
      <c r="B319" s="555" t="s">
        <v>853</v>
      </c>
      <c r="C319" s="581" t="s">
        <v>53</v>
      </c>
      <c r="D319" s="578">
        <v>41600</v>
      </c>
      <c r="E319" s="579">
        <v>1810</v>
      </c>
      <c r="F319" s="662">
        <v>90.24</v>
      </c>
      <c r="G319" s="644">
        <f t="shared" si="82"/>
        <v>163334.39999999999</v>
      </c>
      <c r="H319" s="573"/>
      <c r="I319" s="609">
        <v>41619</v>
      </c>
      <c r="J319" s="662">
        <v>87.76</v>
      </c>
      <c r="K319" s="645">
        <f t="shared" si="83"/>
        <v>158845.6</v>
      </c>
      <c r="L319" s="646">
        <f t="shared" si="85"/>
        <v>-4488.7999999999884</v>
      </c>
      <c r="M319" s="663">
        <v>1</v>
      </c>
      <c r="N319" s="576">
        <f t="shared" si="84"/>
        <v>-4488.7999999999884</v>
      </c>
      <c r="O319" s="664"/>
    </row>
    <row r="320" spans="1:16" s="115" customFormat="1" ht="15" customHeight="1">
      <c r="A320" s="642" t="s">
        <v>1409</v>
      </c>
      <c r="B320" s="554" t="s">
        <v>1410</v>
      </c>
      <c r="C320" s="392" t="s">
        <v>53</v>
      </c>
      <c r="D320" s="569">
        <v>41563</v>
      </c>
      <c r="E320" s="570">
        <v>882</v>
      </c>
      <c r="F320" s="643">
        <v>79.27</v>
      </c>
      <c r="G320" s="644">
        <f t="shared" si="82"/>
        <v>69916.14</v>
      </c>
      <c r="H320" s="573"/>
      <c r="I320" s="608">
        <v>41619</v>
      </c>
      <c r="J320" s="643">
        <v>76.48</v>
      </c>
      <c r="K320" s="645">
        <f t="shared" si="83"/>
        <v>67455.360000000001</v>
      </c>
      <c r="L320" s="646">
        <f t="shared" si="85"/>
        <v>-2460.7799999999988</v>
      </c>
      <c r="M320" s="647">
        <v>1</v>
      </c>
      <c r="N320" s="576">
        <f t="shared" si="84"/>
        <v>-2460.7799999999988</v>
      </c>
      <c r="O320" s="664"/>
    </row>
    <row r="321" spans="1:16" s="115" customFormat="1" ht="15" customHeight="1">
      <c r="A321" s="642" t="s">
        <v>1085</v>
      </c>
      <c r="B321" s="554" t="s">
        <v>1086</v>
      </c>
      <c r="C321" s="392" t="s">
        <v>53</v>
      </c>
      <c r="D321" s="569">
        <v>41563</v>
      </c>
      <c r="E321" s="570">
        <v>967</v>
      </c>
      <c r="F321" s="643">
        <v>56.32</v>
      </c>
      <c r="G321" s="644">
        <f t="shared" si="82"/>
        <v>54461.440000000002</v>
      </c>
      <c r="H321" s="573"/>
      <c r="I321" s="608">
        <v>41620</v>
      </c>
      <c r="J321" s="643">
        <v>53.83</v>
      </c>
      <c r="K321" s="645">
        <f t="shared" si="83"/>
        <v>52053.61</v>
      </c>
      <c r="L321" s="646">
        <f t="shared" si="85"/>
        <v>-2407.8300000000017</v>
      </c>
      <c r="M321" s="647">
        <v>1</v>
      </c>
      <c r="N321" s="576">
        <f t="shared" si="84"/>
        <v>-2407.8300000000017</v>
      </c>
      <c r="O321" s="648"/>
      <c r="P321" s="322"/>
    </row>
    <row r="322" spans="1:16" s="115" customFormat="1" ht="15" customHeight="1">
      <c r="A322" s="642" t="s">
        <v>1481</v>
      </c>
      <c r="B322" s="555" t="s">
        <v>1480</v>
      </c>
      <c r="C322" s="581" t="s">
        <v>53</v>
      </c>
      <c r="D322" s="578">
        <v>41596</v>
      </c>
      <c r="E322" s="579">
        <v>1740</v>
      </c>
      <c r="F322" s="662">
        <v>75.55</v>
      </c>
      <c r="G322" s="644">
        <f t="shared" si="82"/>
        <v>131457</v>
      </c>
      <c r="H322" s="573"/>
      <c r="I322" s="609">
        <v>41621</v>
      </c>
      <c r="J322" s="662">
        <v>72.92</v>
      </c>
      <c r="K322" s="645">
        <f t="shared" si="83"/>
        <v>126880.8</v>
      </c>
      <c r="L322" s="646">
        <f t="shared" si="85"/>
        <v>-4576.1999999999971</v>
      </c>
      <c r="M322" s="663">
        <v>1</v>
      </c>
      <c r="N322" s="576">
        <f t="shared" si="84"/>
        <v>-4576.1999999999971</v>
      </c>
      <c r="O322" s="664"/>
    </row>
    <row r="323" spans="1:16" s="115" customFormat="1" ht="15" customHeight="1">
      <c r="A323" s="642" t="s">
        <v>1321</v>
      </c>
      <c r="B323" s="554" t="s">
        <v>1322</v>
      </c>
      <c r="C323" s="392" t="s">
        <v>53</v>
      </c>
      <c r="D323" s="569">
        <v>41523</v>
      </c>
      <c r="E323" s="570">
        <v>585</v>
      </c>
      <c r="F323" s="643">
        <v>78.12</v>
      </c>
      <c r="G323" s="644">
        <f t="shared" ref="G323:G329" si="86">SUM(E323*F323)</f>
        <v>45700.200000000004</v>
      </c>
      <c r="H323" s="573"/>
      <c r="I323" s="608">
        <v>41624</v>
      </c>
      <c r="J323" s="643">
        <v>77.75</v>
      </c>
      <c r="K323" s="645">
        <f t="shared" ref="K323:K329" si="87">SUM(E323*J323)</f>
        <v>45483.75</v>
      </c>
      <c r="L323" s="646">
        <f t="shared" ref="L323:L328" si="88">SUM(K323-G323)</f>
        <v>-216.45000000000437</v>
      </c>
      <c r="M323" s="647">
        <v>1</v>
      </c>
      <c r="N323" s="576">
        <f t="shared" ref="N323:N329" si="89">SUM(L323*M323)</f>
        <v>-216.45000000000437</v>
      </c>
      <c r="O323" s="664"/>
    </row>
    <row r="324" spans="1:16" s="115" customFormat="1" ht="15" customHeight="1">
      <c r="A324" s="642" t="s">
        <v>1055</v>
      </c>
      <c r="B324" s="554" t="s">
        <v>1054</v>
      </c>
      <c r="C324" s="392" t="s">
        <v>53</v>
      </c>
      <c r="D324" s="569">
        <v>41571</v>
      </c>
      <c r="E324" s="570">
        <v>1383</v>
      </c>
      <c r="F324" s="643">
        <v>53.96</v>
      </c>
      <c r="G324" s="644">
        <f t="shared" si="86"/>
        <v>74626.680000000008</v>
      </c>
      <c r="H324" s="573"/>
      <c r="I324" s="608">
        <v>41625</v>
      </c>
      <c r="J324" s="643">
        <v>58.24</v>
      </c>
      <c r="K324" s="645">
        <f t="shared" si="87"/>
        <v>80545.919999999998</v>
      </c>
      <c r="L324" s="646">
        <f t="shared" si="88"/>
        <v>5919.2399999999907</v>
      </c>
      <c r="M324" s="647">
        <v>1</v>
      </c>
      <c r="N324" s="576">
        <f t="shared" si="89"/>
        <v>5919.2399999999907</v>
      </c>
      <c r="O324" s="664"/>
    </row>
    <row r="325" spans="1:16" s="115" customFormat="1" ht="15" customHeight="1">
      <c r="A325" s="642" t="s">
        <v>1479</v>
      </c>
      <c r="B325" s="555" t="s">
        <v>867</v>
      </c>
      <c r="C325" s="581" t="s">
        <v>53</v>
      </c>
      <c r="D325" s="578">
        <v>41597</v>
      </c>
      <c r="E325" s="579">
        <v>2963</v>
      </c>
      <c r="F325" s="662">
        <v>51.34</v>
      </c>
      <c r="G325" s="644">
        <f t="shared" si="86"/>
        <v>152120.42000000001</v>
      </c>
      <c r="H325" s="573"/>
      <c r="I325" s="609">
        <v>41625</v>
      </c>
      <c r="J325" s="662">
        <v>50.6</v>
      </c>
      <c r="K325" s="645">
        <f t="shared" si="87"/>
        <v>149927.80000000002</v>
      </c>
      <c r="L325" s="646">
        <f t="shared" si="88"/>
        <v>-2192.6199999999953</v>
      </c>
      <c r="M325" s="663">
        <v>1</v>
      </c>
      <c r="N325" s="576">
        <f t="shared" si="89"/>
        <v>-2192.6199999999953</v>
      </c>
      <c r="O325" s="664"/>
    </row>
    <row r="326" spans="1:16" s="115" customFormat="1" ht="15" customHeight="1">
      <c r="A326" s="642" t="s">
        <v>517</v>
      </c>
      <c r="B326" s="554" t="s">
        <v>518</v>
      </c>
      <c r="C326" s="392" t="s">
        <v>53</v>
      </c>
      <c r="D326" s="569">
        <v>41520</v>
      </c>
      <c r="E326" s="570">
        <v>729</v>
      </c>
      <c r="F326" s="643">
        <v>61.26</v>
      </c>
      <c r="G326" s="644">
        <f t="shared" si="86"/>
        <v>44658.54</v>
      </c>
      <c r="H326" s="573"/>
      <c r="I326" s="608">
        <v>41626</v>
      </c>
      <c r="J326" s="643">
        <v>66.59</v>
      </c>
      <c r="K326" s="645">
        <f t="shared" si="87"/>
        <v>48544.11</v>
      </c>
      <c r="L326" s="646">
        <f t="shared" si="88"/>
        <v>3885.5699999999997</v>
      </c>
      <c r="M326" s="647">
        <v>1</v>
      </c>
      <c r="N326" s="576">
        <f t="shared" si="89"/>
        <v>3885.5699999999997</v>
      </c>
      <c r="O326" s="664"/>
    </row>
    <row r="327" spans="1:16" s="115" customFormat="1" ht="15" customHeight="1">
      <c r="A327" s="642" t="s">
        <v>1485</v>
      </c>
      <c r="B327" s="555" t="s">
        <v>1486</v>
      </c>
      <c r="C327" s="581" t="s">
        <v>53</v>
      </c>
      <c r="D327" s="578">
        <v>41605</v>
      </c>
      <c r="E327" s="579">
        <v>3075</v>
      </c>
      <c r="F327" s="662">
        <v>44.89</v>
      </c>
      <c r="G327" s="644">
        <f t="shared" si="86"/>
        <v>138036.75</v>
      </c>
      <c r="H327" s="573"/>
      <c r="I327" s="609">
        <v>41626</v>
      </c>
      <c r="J327" s="662">
        <v>43.99</v>
      </c>
      <c r="K327" s="645">
        <f t="shared" si="87"/>
        <v>135269.25</v>
      </c>
      <c r="L327" s="646">
        <f t="shared" si="88"/>
        <v>-2767.5</v>
      </c>
      <c r="M327" s="663">
        <v>1</v>
      </c>
      <c r="N327" s="576">
        <f t="shared" si="89"/>
        <v>-2767.5</v>
      </c>
      <c r="O327" s="664"/>
    </row>
    <row r="328" spans="1:16" s="115" customFormat="1" ht="15" customHeight="1">
      <c r="A328" s="425" t="s">
        <v>1521</v>
      </c>
      <c r="B328" s="555" t="s">
        <v>1522</v>
      </c>
      <c r="C328" s="446" t="s">
        <v>53</v>
      </c>
      <c r="D328" s="447">
        <v>41617</v>
      </c>
      <c r="E328" s="448">
        <v>2765</v>
      </c>
      <c r="F328" s="655">
        <v>35.119999999999997</v>
      </c>
      <c r="G328" s="656">
        <f t="shared" si="86"/>
        <v>97106.799999999988</v>
      </c>
      <c r="H328" s="451"/>
      <c r="I328" s="534">
        <v>41626</v>
      </c>
      <c r="J328" s="655">
        <v>33.54</v>
      </c>
      <c r="K328" s="636">
        <f t="shared" si="87"/>
        <v>92738.099999999991</v>
      </c>
      <c r="L328" s="637">
        <f t="shared" si="88"/>
        <v>-4368.6999999999971</v>
      </c>
      <c r="M328" s="657">
        <v>1</v>
      </c>
      <c r="N328" s="454">
        <f t="shared" si="89"/>
        <v>-4368.6999999999971</v>
      </c>
      <c r="O328" s="442"/>
    </row>
    <row r="329" spans="1:16" s="117" customFormat="1" ht="15" customHeight="1">
      <c r="A329" s="665" t="s">
        <v>1029</v>
      </c>
      <c r="B329" s="605" t="s">
        <v>1030</v>
      </c>
      <c r="C329" s="610" t="s">
        <v>78</v>
      </c>
      <c r="D329" s="666">
        <v>41592</v>
      </c>
      <c r="E329" s="667">
        <v>2057</v>
      </c>
      <c r="F329" s="668">
        <v>43.13</v>
      </c>
      <c r="G329" s="669">
        <f t="shared" si="86"/>
        <v>88718.41</v>
      </c>
      <c r="H329" s="670"/>
      <c r="I329" s="609">
        <v>41626</v>
      </c>
      <c r="J329" s="668">
        <v>45.03</v>
      </c>
      <c r="K329" s="671">
        <f t="shared" si="87"/>
        <v>92626.71</v>
      </c>
      <c r="L329" s="672">
        <f>SUM(G329-K329)</f>
        <v>-3908.3000000000029</v>
      </c>
      <c r="M329" s="673">
        <v>1</v>
      </c>
      <c r="N329" s="810">
        <f t="shared" si="89"/>
        <v>-3908.3000000000029</v>
      </c>
      <c r="O329" s="674"/>
    </row>
    <row r="330" spans="1:16" s="115" customFormat="1" ht="15" customHeight="1">
      <c r="A330" s="642" t="s">
        <v>1537</v>
      </c>
      <c r="B330" s="554" t="s">
        <v>1538</v>
      </c>
      <c r="C330" s="392" t="s">
        <v>53</v>
      </c>
      <c r="D330" s="569">
        <v>41638</v>
      </c>
      <c r="E330" s="570">
        <v>1973</v>
      </c>
      <c r="F330" s="643">
        <v>80.180000000000007</v>
      </c>
      <c r="G330" s="644">
        <f>SUM(E330*F330)</f>
        <v>158195.14000000001</v>
      </c>
      <c r="H330" s="573"/>
      <c r="I330" s="608">
        <v>41648</v>
      </c>
      <c r="J330" s="643">
        <v>72.22</v>
      </c>
      <c r="K330" s="645">
        <f>SUM(E330*J330)</f>
        <v>142490.06</v>
      </c>
      <c r="L330" s="646">
        <f>SUM(K330-G330)</f>
        <v>-15705.080000000016</v>
      </c>
      <c r="M330" s="647">
        <v>1</v>
      </c>
      <c r="N330" s="576">
        <f>SUM(L330*M330)</f>
        <v>-15705.080000000016</v>
      </c>
      <c r="O330" s="648" t="s">
        <v>3</v>
      </c>
      <c r="P330" s="322"/>
    </row>
    <row r="331" spans="1:16" s="115" customFormat="1" ht="15" customHeight="1">
      <c r="A331" s="642" t="s">
        <v>621</v>
      </c>
      <c r="B331" s="555" t="s">
        <v>622</v>
      </c>
      <c r="C331" s="581" t="s">
        <v>53</v>
      </c>
      <c r="D331" s="578">
        <v>41593</v>
      </c>
      <c r="E331" s="579">
        <v>1074</v>
      </c>
      <c r="F331" s="662">
        <v>111.15</v>
      </c>
      <c r="G331" s="644">
        <f>SUM(E331*F331)</f>
        <v>119375.1</v>
      </c>
      <c r="H331" s="573"/>
      <c r="I331" s="609">
        <v>41648</v>
      </c>
      <c r="J331" s="662">
        <v>111.02</v>
      </c>
      <c r="K331" s="645">
        <f>SUM(E331*J331)</f>
        <v>119235.48</v>
      </c>
      <c r="L331" s="646">
        <f>SUM(K331-G331)</f>
        <v>-139.6200000000099</v>
      </c>
      <c r="M331" s="663">
        <v>1</v>
      </c>
      <c r="N331" s="576">
        <f>SUM(L331*M331)</f>
        <v>-139.6200000000099</v>
      </c>
      <c r="O331" s="664"/>
    </row>
    <row r="332" spans="1:16" s="115" customFormat="1" ht="15" customHeight="1">
      <c r="A332" s="642" t="s">
        <v>1547</v>
      </c>
      <c r="B332" s="554" t="s">
        <v>1546</v>
      </c>
      <c r="C332" s="392" t="s">
        <v>53</v>
      </c>
      <c r="D332" s="569">
        <v>41642</v>
      </c>
      <c r="E332" s="570">
        <v>827</v>
      </c>
      <c r="F332" s="643">
        <v>138.08000000000001</v>
      </c>
      <c r="G332" s="644">
        <f t="shared" ref="G332:G357" si="90">SUM(E332*F332)</f>
        <v>114192.16</v>
      </c>
      <c r="H332" s="573"/>
      <c r="I332" s="608">
        <v>41647</v>
      </c>
      <c r="J332" s="643">
        <v>132.13</v>
      </c>
      <c r="K332" s="645">
        <f t="shared" ref="K332:K357" si="91">SUM(E332*J332)</f>
        <v>109271.51</v>
      </c>
      <c r="L332" s="646">
        <f t="shared" ref="L332:L357" si="92">SUM(K332-G332)</f>
        <v>-4920.6500000000087</v>
      </c>
      <c r="M332" s="647">
        <v>1</v>
      </c>
      <c r="N332" s="576">
        <f t="shared" ref="N332:N357" si="93">SUM(L332*M332)</f>
        <v>-4920.6500000000087</v>
      </c>
      <c r="O332" s="648" t="s">
        <v>3</v>
      </c>
      <c r="P332" s="322"/>
    </row>
    <row r="333" spans="1:16" s="117" customFormat="1" ht="15" customHeight="1">
      <c r="A333" s="642" t="s">
        <v>1542</v>
      </c>
      <c r="B333" s="554" t="s">
        <v>1541</v>
      </c>
      <c r="C333" s="392" t="s">
        <v>53</v>
      </c>
      <c r="D333" s="569">
        <v>41638</v>
      </c>
      <c r="E333" s="570">
        <v>2490</v>
      </c>
      <c r="F333" s="643">
        <v>67.41</v>
      </c>
      <c r="G333" s="644">
        <f t="shared" si="90"/>
        <v>167850.9</v>
      </c>
      <c r="H333" s="573"/>
      <c r="I333" s="608">
        <v>41652</v>
      </c>
      <c r="J333" s="643">
        <v>65.349999999999994</v>
      </c>
      <c r="K333" s="645">
        <f t="shared" si="91"/>
        <v>162721.5</v>
      </c>
      <c r="L333" s="646">
        <f t="shared" si="92"/>
        <v>-5129.3999999999942</v>
      </c>
      <c r="M333" s="647">
        <v>1</v>
      </c>
      <c r="N333" s="576">
        <f t="shared" si="93"/>
        <v>-5129.3999999999942</v>
      </c>
      <c r="O333" s="648" t="s">
        <v>3</v>
      </c>
      <c r="P333" s="322"/>
    </row>
    <row r="334" spans="1:16" s="115" customFormat="1" ht="15" customHeight="1">
      <c r="A334" s="642" t="s">
        <v>493</v>
      </c>
      <c r="B334" s="554" t="s">
        <v>494</v>
      </c>
      <c r="C334" s="392" t="s">
        <v>53</v>
      </c>
      <c r="D334" s="569">
        <v>41639</v>
      </c>
      <c r="E334" s="570">
        <v>807</v>
      </c>
      <c r="F334" s="643">
        <v>189.22</v>
      </c>
      <c r="G334" s="644">
        <f t="shared" si="90"/>
        <v>152700.54</v>
      </c>
      <c r="H334" s="573"/>
      <c r="I334" s="608">
        <v>41655</v>
      </c>
      <c r="J334" s="643">
        <v>182.76</v>
      </c>
      <c r="K334" s="645">
        <f t="shared" si="91"/>
        <v>147487.32</v>
      </c>
      <c r="L334" s="646">
        <f t="shared" si="92"/>
        <v>-5213.2200000000012</v>
      </c>
      <c r="M334" s="647">
        <v>1</v>
      </c>
      <c r="N334" s="576">
        <f t="shared" si="93"/>
        <v>-5213.2200000000012</v>
      </c>
      <c r="O334" s="648" t="s">
        <v>3</v>
      </c>
      <c r="P334" s="322"/>
    </row>
    <row r="335" spans="1:16" s="115" customFormat="1" ht="15" customHeight="1">
      <c r="A335" s="642" t="s">
        <v>1436</v>
      </c>
      <c r="B335" s="554" t="s">
        <v>1437</v>
      </c>
      <c r="C335" s="392" t="s">
        <v>53</v>
      </c>
      <c r="D335" s="569">
        <v>41569</v>
      </c>
      <c r="E335" s="570">
        <v>922</v>
      </c>
      <c r="F335" s="643">
        <v>80.41</v>
      </c>
      <c r="G335" s="644">
        <f t="shared" si="90"/>
        <v>74138.02</v>
      </c>
      <c r="H335" s="573"/>
      <c r="I335" s="608">
        <v>41655</v>
      </c>
      <c r="J335" s="643">
        <v>87.71</v>
      </c>
      <c r="K335" s="645">
        <f t="shared" si="91"/>
        <v>80868.62</v>
      </c>
      <c r="L335" s="646">
        <f t="shared" si="92"/>
        <v>6730.5999999999913</v>
      </c>
      <c r="M335" s="647">
        <v>1</v>
      </c>
      <c r="N335" s="576">
        <f t="shared" si="93"/>
        <v>6730.5999999999913</v>
      </c>
      <c r="O335" s="664"/>
    </row>
    <row r="336" spans="1:16" s="115" customFormat="1" ht="15" customHeight="1">
      <c r="A336" s="642" t="s">
        <v>1213</v>
      </c>
      <c r="B336" s="555" t="s">
        <v>1214</v>
      </c>
      <c r="C336" s="581" t="s">
        <v>53</v>
      </c>
      <c r="D336" s="578">
        <v>41596</v>
      </c>
      <c r="E336" s="579">
        <v>4216</v>
      </c>
      <c r="F336" s="662">
        <v>27.42</v>
      </c>
      <c r="G336" s="644">
        <f t="shared" si="90"/>
        <v>115602.72</v>
      </c>
      <c r="H336" s="573"/>
      <c r="I336" s="609">
        <v>41655</v>
      </c>
      <c r="J336" s="662">
        <v>27.39</v>
      </c>
      <c r="K336" s="645">
        <f t="shared" si="91"/>
        <v>115476.24</v>
      </c>
      <c r="L336" s="646">
        <f t="shared" si="92"/>
        <v>-126.47999999999593</v>
      </c>
      <c r="M336" s="663">
        <v>1</v>
      </c>
      <c r="N336" s="576">
        <f t="shared" si="93"/>
        <v>-126.47999999999593</v>
      </c>
      <c r="O336" s="664"/>
    </row>
    <row r="337" spans="1:16" s="115" customFormat="1" ht="15" customHeight="1">
      <c r="A337" s="642" t="s">
        <v>1457</v>
      </c>
      <c r="B337" s="554" t="s">
        <v>969</v>
      </c>
      <c r="C337" s="392" t="s">
        <v>53</v>
      </c>
      <c r="D337" s="569">
        <v>41576</v>
      </c>
      <c r="E337" s="570">
        <v>1619</v>
      </c>
      <c r="F337" s="643">
        <v>44.74</v>
      </c>
      <c r="G337" s="644">
        <f t="shared" si="90"/>
        <v>72434.06</v>
      </c>
      <c r="H337" s="573"/>
      <c r="I337" s="608">
        <v>41656</v>
      </c>
      <c r="J337" s="643">
        <v>44.01</v>
      </c>
      <c r="K337" s="645">
        <f t="shared" si="91"/>
        <v>71252.19</v>
      </c>
      <c r="L337" s="646">
        <f t="shared" si="92"/>
        <v>-1181.8699999999953</v>
      </c>
      <c r="M337" s="647">
        <v>1</v>
      </c>
      <c r="N337" s="576">
        <f t="shared" si="93"/>
        <v>-1181.8699999999953</v>
      </c>
      <c r="O337" s="664"/>
    </row>
    <row r="338" spans="1:16" s="115" customFormat="1" ht="15" customHeight="1">
      <c r="A338" s="642" t="s">
        <v>1539</v>
      </c>
      <c r="B338" s="554" t="s">
        <v>1540</v>
      </c>
      <c r="C338" s="392" t="s">
        <v>53</v>
      </c>
      <c r="D338" s="569">
        <v>41638</v>
      </c>
      <c r="E338" s="570">
        <v>1034</v>
      </c>
      <c r="F338" s="643">
        <v>91.35</v>
      </c>
      <c r="G338" s="644">
        <f t="shared" si="90"/>
        <v>94455.9</v>
      </c>
      <c r="H338" s="573"/>
      <c r="I338" s="608">
        <v>41656</v>
      </c>
      <c r="J338" s="643">
        <v>86.39</v>
      </c>
      <c r="K338" s="645">
        <f t="shared" si="91"/>
        <v>89327.26</v>
      </c>
      <c r="L338" s="646">
        <f t="shared" si="92"/>
        <v>-5128.6399999999994</v>
      </c>
      <c r="M338" s="647">
        <v>1</v>
      </c>
      <c r="N338" s="576">
        <f t="shared" si="93"/>
        <v>-5128.6399999999994</v>
      </c>
      <c r="O338" s="648" t="s">
        <v>3</v>
      </c>
      <c r="P338" s="322"/>
    </row>
    <row r="339" spans="1:16" s="115" customFormat="1" ht="15" customHeight="1">
      <c r="A339" s="642" t="s">
        <v>1353</v>
      </c>
      <c r="B339" s="554" t="s">
        <v>1354</v>
      </c>
      <c r="C339" s="392" t="s">
        <v>53</v>
      </c>
      <c r="D339" s="569">
        <v>41534</v>
      </c>
      <c r="E339" s="570">
        <v>1242</v>
      </c>
      <c r="F339" s="643">
        <v>55.59</v>
      </c>
      <c r="G339" s="644">
        <f t="shared" si="90"/>
        <v>69042.78</v>
      </c>
      <c r="H339" s="573"/>
      <c r="I339" s="608">
        <v>41660</v>
      </c>
      <c r="J339" s="643">
        <v>60.98</v>
      </c>
      <c r="K339" s="645">
        <f t="shared" si="91"/>
        <v>75737.159999999989</v>
      </c>
      <c r="L339" s="646">
        <f t="shared" si="92"/>
        <v>6694.3799999999901</v>
      </c>
      <c r="M339" s="647">
        <v>1</v>
      </c>
      <c r="N339" s="576">
        <f t="shared" si="93"/>
        <v>6694.3799999999901</v>
      </c>
      <c r="O339" s="664"/>
    </row>
    <row r="340" spans="1:16" s="115" customFormat="1" ht="15" customHeight="1">
      <c r="A340" s="425" t="s">
        <v>1500</v>
      </c>
      <c r="B340" s="555" t="s">
        <v>1499</v>
      </c>
      <c r="C340" s="446" t="s">
        <v>53</v>
      </c>
      <c r="D340" s="447">
        <v>41614</v>
      </c>
      <c r="E340" s="448">
        <v>1827</v>
      </c>
      <c r="F340" s="655">
        <v>59.91</v>
      </c>
      <c r="G340" s="656">
        <f t="shared" si="90"/>
        <v>109455.56999999999</v>
      </c>
      <c r="H340" s="451"/>
      <c r="I340" s="534">
        <v>41660</v>
      </c>
      <c r="J340" s="655">
        <v>59.1</v>
      </c>
      <c r="K340" s="636">
        <f t="shared" si="91"/>
        <v>107975.7</v>
      </c>
      <c r="L340" s="637">
        <f t="shared" si="92"/>
        <v>-1479.8699999999953</v>
      </c>
      <c r="M340" s="657">
        <v>1</v>
      </c>
      <c r="N340" s="454">
        <f t="shared" si="93"/>
        <v>-1479.8699999999953</v>
      </c>
      <c r="O340" s="442"/>
    </row>
    <row r="341" spans="1:16" s="115" customFormat="1" ht="15" customHeight="1">
      <c r="A341" s="642" t="s">
        <v>1532</v>
      </c>
      <c r="B341" s="554" t="s">
        <v>1533</v>
      </c>
      <c r="C341" s="392" t="s">
        <v>53</v>
      </c>
      <c r="D341" s="569">
        <v>41634</v>
      </c>
      <c r="E341" s="570">
        <v>2320</v>
      </c>
      <c r="F341" s="643">
        <v>35.19</v>
      </c>
      <c r="G341" s="644">
        <f t="shared" si="90"/>
        <v>81640.799999999988</v>
      </c>
      <c r="H341" s="573"/>
      <c r="I341" s="608">
        <v>41661</v>
      </c>
      <c r="J341" s="643">
        <v>33.549999999999997</v>
      </c>
      <c r="K341" s="645">
        <f t="shared" si="91"/>
        <v>77836</v>
      </c>
      <c r="L341" s="646">
        <f t="shared" si="92"/>
        <v>-3804.7999999999884</v>
      </c>
      <c r="M341" s="647">
        <v>1</v>
      </c>
      <c r="N341" s="576">
        <f t="shared" si="93"/>
        <v>-3804.7999999999884</v>
      </c>
      <c r="O341" s="648" t="s">
        <v>3</v>
      </c>
      <c r="P341" s="322"/>
    </row>
    <row r="342" spans="1:16" s="115" customFormat="1" ht="15" customHeight="1">
      <c r="A342" s="642" t="s">
        <v>460</v>
      </c>
      <c r="B342" s="554" t="s">
        <v>461</v>
      </c>
      <c r="C342" s="392" t="s">
        <v>53</v>
      </c>
      <c r="D342" s="569">
        <v>41624</v>
      </c>
      <c r="E342" s="570">
        <v>1681</v>
      </c>
      <c r="F342" s="643">
        <v>96.66</v>
      </c>
      <c r="G342" s="644">
        <f t="shared" si="90"/>
        <v>162485.46</v>
      </c>
      <c r="H342" s="573"/>
      <c r="I342" s="608">
        <v>41662</v>
      </c>
      <c r="J342" s="643">
        <v>97.13</v>
      </c>
      <c r="K342" s="645">
        <f t="shared" si="91"/>
        <v>163275.53</v>
      </c>
      <c r="L342" s="646">
        <f t="shared" si="92"/>
        <v>790.07000000000698</v>
      </c>
      <c r="M342" s="647">
        <v>1</v>
      </c>
      <c r="N342" s="576">
        <f t="shared" si="93"/>
        <v>790.07000000000698</v>
      </c>
      <c r="O342" s="648" t="s">
        <v>3</v>
      </c>
      <c r="P342" s="322"/>
    </row>
    <row r="343" spans="1:16" s="115" customFormat="1" ht="15" customHeight="1">
      <c r="A343" s="642" t="s">
        <v>1556</v>
      </c>
      <c r="B343" s="554" t="s">
        <v>1141</v>
      </c>
      <c r="C343" s="392" t="s">
        <v>53</v>
      </c>
      <c r="D343" s="569">
        <v>41648</v>
      </c>
      <c r="E343" s="570">
        <v>1531</v>
      </c>
      <c r="F343" s="643">
        <v>80.94</v>
      </c>
      <c r="G343" s="644">
        <f t="shared" si="90"/>
        <v>123919.14</v>
      </c>
      <c r="H343" s="573"/>
      <c r="I343" s="608">
        <v>41662</v>
      </c>
      <c r="J343" s="643">
        <v>77.739999999999995</v>
      </c>
      <c r="K343" s="645">
        <f t="shared" si="91"/>
        <v>119019.93999999999</v>
      </c>
      <c r="L343" s="646">
        <f t="shared" si="92"/>
        <v>-4899.2000000000116</v>
      </c>
      <c r="M343" s="647">
        <v>1</v>
      </c>
      <c r="N343" s="576">
        <f t="shared" si="93"/>
        <v>-4899.2000000000116</v>
      </c>
      <c r="O343" s="648" t="s">
        <v>3</v>
      </c>
      <c r="P343" s="322"/>
    </row>
    <row r="344" spans="1:16" s="115" customFormat="1" ht="15" customHeight="1">
      <c r="A344" s="642" t="s">
        <v>1473</v>
      </c>
      <c r="B344" s="555" t="s">
        <v>1474</v>
      </c>
      <c r="C344" s="581" t="s">
        <v>53</v>
      </c>
      <c r="D344" s="578">
        <v>41596</v>
      </c>
      <c r="E344" s="579">
        <v>3272</v>
      </c>
      <c r="F344" s="662">
        <v>30.64</v>
      </c>
      <c r="G344" s="644">
        <f t="shared" si="90"/>
        <v>100254.08</v>
      </c>
      <c r="H344" s="573"/>
      <c r="I344" s="609">
        <v>41662</v>
      </c>
      <c r="J344" s="662">
        <v>31.45</v>
      </c>
      <c r="K344" s="645">
        <f t="shared" si="91"/>
        <v>102904.4</v>
      </c>
      <c r="L344" s="646">
        <f t="shared" si="92"/>
        <v>2650.3199999999924</v>
      </c>
      <c r="M344" s="663">
        <v>1</v>
      </c>
      <c r="N344" s="576">
        <f t="shared" si="93"/>
        <v>2650.3199999999924</v>
      </c>
      <c r="O344" s="664"/>
    </row>
    <row r="345" spans="1:16" s="115" customFormat="1" ht="15" customHeight="1">
      <c r="A345" s="642" t="s">
        <v>1392</v>
      </c>
      <c r="B345" s="554" t="s">
        <v>1393</v>
      </c>
      <c r="C345" s="392" t="s">
        <v>53</v>
      </c>
      <c r="D345" s="569">
        <v>41561</v>
      </c>
      <c r="E345" s="570">
        <v>1611</v>
      </c>
      <c r="F345" s="643">
        <v>33.08</v>
      </c>
      <c r="G345" s="644">
        <f t="shared" si="90"/>
        <v>53291.88</v>
      </c>
      <c r="H345" s="573"/>
      <c r="I345" s="608">
        <v>41662</v>
      </c>
      <c r="J345" s="643">
        <v>34.03</v>
      </c>
      <c r="K345" s="645">
        <f t="shared" si="91"/>
        <v>54822.33</v>
      </c>
      <c r="L345" s="646">
        <f t="shared" si="92"/>
        <v>1530.4500000000044</v>
      </c>
      <c r="M345" s="647">
        <v>1</v>
      </c>
      <c r="N345" s="576">
        <f t="shared" si="93"/>
        <v>1530.4500000000044</v>
      </c>
      <c r="O345" s="664"/>
    </row>
    <row r="346" spans="1:16" s="115" customFormat="1" ht="15" customHeight="1">
      <c r="A346" s="642" t="s">
        <v>1535</v>
      </c>
      <c r="B346" s="554" t="s">
        <v>1534</v>
      </c>
      <c r="C346" s="392" t="s">
        <v>53</v>
      </c>
      <c r="D346" s="569">
        <v>41632</v>
      </c>
      <c r="E346" s="570">
        <v>2297</v>
      </c>
      <c r="F346" s="643">
        <v>63.36</v>
      </c>
      <c r="G346" s="644">
        <f t="shared" si="90"/>
        <v>145537.92000000001</v>
      </c>
      <c r="H346" s="573"/>
      <c r="I346" s="608">
        <v>41662</v>
      </c>
      <c r="J346" s="643">
        <v>61.32</v>
      </c>
      <c r="K346" s="645">
        <f t="shared" si="91"/>
        <v>140852.04</v>
      </c>
      <c r="L346" s="646">
        <f t="shared" si="92"/>
        <v>-4685.8800000000047</v>
      </c>
      <c r="M346" s="647">
        <v>1</v>
      </c>
      <c r="N346" s="576">
        <f t="shared" si="93"/>
        <v>-4685.8800000000047</v>
      </c>
      <c r="O346" s="648" t="s">
        <v>3</v>
      </c>
      <c r="P346" s="322"/>
    </row>
    <row r="347" spans="1:16" s="115" customFormat="1" ht="15" customHeight="1">
      <c r="A347" s="642" t="s">
        <v>862</v>
      </c>
      <c r="B347" s="554" t="s">
        <v>540</v>
      </c>
      <c r="C347" s="392" t="s">
        <v>53</v>
      </c>
      <c r="D347" s="569">
        <v>41626</v>
      </c>
      <c r="E347" s="570">
        <v>2623</v>
      </c>
      <c r="F347" s="643">
        <v>51.1</v>
      </c>
      <c r="G347" s="644">
        <f t="shared" si="90"/>
        <v>134035.30000000002</v>
      </c>
      <c r="H347" s="573"/>
      <c r="I347" s="608">
        <v>41662</v>
      </c>
      <c r="J347" s="643">
        <v>49.84</v>
      </c>
      <c r="K347" s="645">
        <f t="shared" si="91"/>
        <v>130730.32</v>
      </c>
      <c r="L347" s="646">
        <f t="shared" si="92"/>
        <v>-3304.9800000000105</v>
      </c>
      <c r="M347" s="647">
        <v>1</v>
      </c>
      <c r="N347" s="576">
        <f t="shared" si="93"/>
        <v>-3304.9800000000105</v>
      </c>
      <c r="O347" s="648" t="s">
        <v>3</v>
      </c>
      <c r="P347" s="322"/>
    </row>
    <row r="348" spans="1:16" s="115" customFormat="1" ht="15" customHeight="1">
      <c r="A348" s="642" t="s">
        <v>1452</v>
      </c>
      <c r="B348" s="554" t="s">
        <v>1453</v>
      </c>
      <c r="C348" s="392" t="s">
        <v>53</v>
      </c>
      <c r="D348" s="569">
        <v>41576</v>
      </c>
      <c r="E348" s="570">
        <v>1124</v>
      </c>
      <c r="F348" s="643">
        <v>67.7</v>
      </c>
      <c r="G348" s="644">
        <f t="shared" si="90"/>
        <v>76094.8</v>
      </c>
      <c r="H348" s="573"/>
      <c r="I348" s="608">
        <v>41663</v>
      </c>
      <c r="J348" s="643">
        <v>73.25</v>
      </c>
      <c r="K348" s="645">
        <f t="shared" si="91"/>
        <v>82333</v>
      </c>
      <c r="L348" s="646">
        <f t="shared" si="92"/>
        <v>6238.1999999999971</v>
      </c>
      <c r="M348" s="647">
        <v>1</v>
      </c>
      <c r="N348" s="576">
        <f t="shared" si="93"/>
        <v>6238.1999999999971</v>
      </c>
      <c r="O348" s="664"/>
    </row>
    <row r="349" spans="1:16" s="115" customFormat="1" ht="15" customHeight="1">
      <c r="A349" s="642" t="s">
        <v>1438</v>
      </c>
      <c r="B349" s="554" t="s">
        <v>1439</v>
      </c>
      <c r="C349" s="392" t="s">
        <v>53</v>
      </c>
      <c r="D349" s="569">
        <v>41569</v>
      </c>
      <c r="E349" s="570">
        <v>987</v>
      </c>
      <c r="F349" s="643">
        <v>79.53</v>
      </c>
      <c r="G349" s="644">
        <f t="shared" si="90"/>
        <v>78496.11</v>
      </c>
      <c r="H349" s="573"/>
      <c r="I349" s="608">
        <v>41663</v>
      </c>
      <c r="J349" s="643">
        <v>80.22</v>
      </c>
      <c r="K349" s="645">
        <f t="shared" si="91"/>
        <v>79177.14</v>
      </c>
      <c r="L349" s="646">
        <f t="shared" si="92"/>
        <v>681.02999999999884</v>
      </c>
      <c r="M349" s="647">
        <v>1</v>
      </c>
      <c r="N349" s="576">
        <f t="shared" si="93"/>
        <v>681.02999999999884</v>
      </c>
      <c r="O349" s="664"/>
    </row>
    <row r="350" spans="1:16" s="115" customFormat="1" ht="15" customHeight="1">
      <c r="A350" s="642" t="s">
        <v>1530</v>
      </c>
      <c r="B350" s="554" t="s">
        <v>1545</v>
      </c>
      <c r="C350" s="392" t="s">
        <v>53</v>
      </c>
      <c r="D350" s="569">
        <v>41628</v>
      </c>
      <c r="E350" s="570">
        <v>7566</v>
      </c>
      <c r="F350" s="643">
        <v>13.36</v>
      </c>
      <c r="G350" s="644">
        <f t="shared" si="90"/>
        <v>101081.76</v>
      </c>
      <c r="H350" s="573"/>
      <c r="I350" s="608">
        <v>41663</v>
      </c>
      <c r="J350" s="643">
        <v>13.1</v>
      </c>
      <c r="K350" s="645">
        <f t="shared" si="91"/>
        <v>99114.599999999991</v>
      </c>
      <c r="L350" s="646">
        <f t="shared" si="92"/>
        <v>-1967.1600000000035</v>
      </c>
      <c r="M350" s="647">
        <v>1</v>
      </c>
      <c r="N350" s="576">
        <f t="shared" si="93"/>
        <v>-1967.1600000000035</v>
      </c>
      <c r="O350" s="648" t="s">
        <v>3</v>
      </c>
      <c r="P350" s="322"/>
    </row>
    <row r="351" spans="1:16" s="115" customFormat="1" ht="15" customHeight="1">
      <c r="A351" s="642" t="s">
        <v>1394</v>
      </c>
      <c r="B351" s="554" t="s">
        <v>1395</v>
      </c>
      <c r="C351" s="392" t="s">
        <v>53</v>
      </c>
      <c r="D351" s="569">
        <v>41565</v>
      </c>
      <c r="E351" s="570">
        <v>1389</v>
      </c>
      <c r="F351" s="643">
        <v>68.760000000000005</v>
      </c>
      <c r="G351" s="644">
        <f t="shared" si="90"/>
        <v>95507.640000000014</v>
      </c>
      <c r="H351" s="573"/>
      <c r="I351" s="608">
        <v>41663</v>
      </c>
      <c r="J351" s="643">
        <v>73.36</v>
      </c>
      <c r="K351" s="645">
        <f t="shared" si="91"/>
        <v>101897.04</v>
      </c>
      <c r="L351" s="646">
        <f t="shared" si="92"/>
        <v>6389.3999999999796</v>
      </c>
      <c r="M351" s="647">
        <v>1</v>
      </c>
      <c r="N351" s="576">
        <f t="shared" si="93"/>
        <v>6389.3999999999796</v>
      </c>
      <c r="O351" s="664"/>
    </row>
    <row r="352" spans="1:16" s="115" customFormat="1" ht="15" customHeight="1">
      <c r="A352" s="642" t="s">
        <v>1511</v>
      </c>
      <c r="B352" s="554" t="s">
        <v>1516</v>
      </c>
      <c r="C352" s="392" t="s">
        <v>53</v>
      </c>
      <c r="D352" s="569">
        <v>41527</v>
      </c>
      <c r="E352" s="570">
        <v>819</v>
      </c>
      <c r="F352" s="643">
        <v>62.96</v>
      </c>
      <c r="G352" s="644">
        <f t="shared" si="90"/>
        <v>51564.24</v>
      </c>
      <c r="H352" s="573"/>
      <c r="I352" s="608">
        <v>41663</v>
      </c>
      <c r="J352" s="643">
        <v>59.2</v>
      </c>
      <c r="K352" s="645">
        <f t="shared" si="91"/>
        <v>48484.800000000003</v>
      </c>
      <c r="L352" s="646">
        <f t="shared" si="92"/>
        <v>-3079.4399999999951</v>
      </c>
      <c r="M352" s="647">
        <v>1</v>
      </c>
      <c r="N352" s="576">
        <f t="shared" si="93"/>
        <v>-3079.4399999999951</v>
      </c>
      <c r="O352" s="664"/>
    </row>
    <row r="353" spans="1:16" s="115" customFormat="1" ht="15" customHeight="1">
      <c r="A353" s="642" t="s">
        <v>1512</v>
      </c>
      <c r="B353" s="555" t="s">
        <v>1517</v>
      </c>
      <c r="C353" s="581" t="s">
        <v>53</v>
      </c>
      <c r="D353" s="578">
        <v>41604</v>
      </c>
      <c r="E353" s="579">
        <v>1663</v>
      </c>
      <c r="F353" s="662">
        <v>69.62</v>
      </c>
      <c r="G353" s="644">
        <f t="shared" si="90"/>
        <v>115778.06000000001</v>
      </c>
      <c r="H353" s="573"/>
      <c r="I353" s="608">
        <v>41663</v>
      </c>
      <c r="J353" s="662">
        <v>59.2</v>
      </c>
      <c r="K353" s="645">
        <f t="shared" si="91"/>
        <v>98449.600000000006</v>
      </c>
      <c r="L353" s="646">
        <f t="shared" si="92"/>
        <v>-17328.460000000006</v>
      </c>
      <c r="M353" s="663">
        <v>1</v>
      </c>
      <c r="N353" s="576">
        <f t="shared" si="93"/>
        <v>-17328.460000000006</v>
      </c>
      <c r="O353" s="664"/>
    </row>
    <row r="354" spans="1:16" ht="15" customHeight="1">
      <c r="A354" s="642" t="s">
        <v>1319</v>
      </c>
      <c r="B354" s="554" t="s">
        <v>1320</v>
      </c>
      <c r="C354" s="392" t="s">
        <v>53</v>
      </c>
      <c r="D354" s="569">
        <v>41523</v>
      </c>
      <c r="E354" s="570">
        <v>941</v>
      </c>
      <c r="F354" s="643">
        <v>58.86</v>
      </c>
      <c r="G354" s="644">
        <f t="shared" si="90"/>
        <v>55387.26</v>
      </c>
      <c r="H354" s="573"/>
      <c r="I354" s="608">
        <v>41663</v>
      </c>
      <c r="J354" s="643">
        <v>72.88</v>
      </c>
      <c r="K354" s="645">
        <f t="shared" si="91"/>
        <v>68580.08</v>
      </c>
      <c r="L354" s="646">
        <f t="shared" si="92"/>
        <v>13192.82</v>
      </c>
      <c r="M354" s="647">
        <v>1</v>
      </c>
      <c r="N354" s="576">
        <f t="shared" si="93"/>
        <v>13192.82</v>
      </c>
      <c r="O354" s="664"/>
      <c r="P354" s="115"/>
    </row>
    <row r="355" spans="1:16" ht="15" customHeight="1">
      <c r="A355" s="642" t="s">
        <v>1458</v>
      </c>
      <c r="B355" s="555" t="s">
        <v>1459</v>
      </c>
      <c r="C355" s="581" t="s">
        <v>53</v>
      </c>
      <c r="D355" s="578">
        <v>41586</v>
      </c>
      <c r="E355" s="579">
        <v>1291</v>
      </c>
      <c r="F355" s="662">
        <v>73.75</v>
      </c>
      <c r="G355" s="644">
        <f t="shared" si="90"/>
        <v>95211.25</v>
      </c>
      <c r="H355" s="573"/>
      <c r="I355" s="609">
        <v>41663</v>
      </c>
      <c r="J355" s="662">
        <v>74.56</v>
      </c>
      <c r="K355" s="645">
        <f t="shared" si="91"/>
        <v>96256.960000000006</v>
      </c>
      <c r="L355" s="646">
        <f t="shared" si="92"/>
        <v>1045.7100000000064</v>
      </c>
      <c r="M355" s="663">
        <v>1</v>
      </c>
      <c r="N355" s="576">
        <f t="shared" si="93"/>
        <v>1045.7100000000064</v>
      </c>
      <c r="O355" s="664"/>
      <c r="P355" s="115"/>
    </row>
    <row r="356" spans="1:16" s="115" customFormat="1" ht="15" customHeight="1">
      <c r="A356" s="642" t="s">
        <v>1185</v>
      </c>
      <c r="B356" s="611" t="s">
        <v>226</v>
      </c>
      <c r="C356" s="48" t="s">
        <v>53</v>
      </c>
      <c r="D356" s="745">
        <v>41400</v>
      </c>
      <c r="E356" s="746">
        <v>1085</v>
      </c>
      <c r="F356" s="660">
        <v>76.77</v>
      </c>
      <c r="G356" s="644">
        <f t="shared" si="90"/>
        <v>83295.45</v>
      </c>
      <c r="H356" s="660"/>
      <c r="I356" s="608">
        <v>41663</v>
      </c>
      <c r="J356" s="645">
        <v>108.55</v>
      </c>
      <c r="K356" s="645">
        <f t="shared" si="91"/>
        <v>117776.75</v>
      </c>
      <c r="L356" s="646">
        <f t="shared" si="92"/>
        <v>34481.300000000003</v>
      </c>
      <c r="M356" s="647">
        <v>1</v>
      </c>
      <c r="N356" s="576">
        <f t="shared" si="93"/>
        <v>34481.300000000003</v>
      </c>
      <c r="O356" s="648"/>
      <c r="P356" s="322"/>
    </row>
    <row r="357" spans="1:16" s="115" customFormat="1" ht="15" customHeight="1">
      <c r="A357" s="642" t="s">
        <v>1529</v>
      </c>
      <c r="B357" s="554" t="s">
        <v>1525</v>
      </c>
      <c r="C357" s="392" t="s">
        <v>53</v>
      </c>
      <c r="D357" s="569">
        <v>41626</v>
      </c>
      <c r="E357" s="570">
        <v>1436</v>
      </c>
      <c r="F357" s="643">
        <v>87.03</v>
      </c>
      <c r="G357" s="644">
        <f t="shared" si="90"/>
        <v>124975.08</v>
      </c>
      <c r="H357" s="573"/>
      <c r="I357" s="608">
        <v>41663</v>
      </c>
      <c r="J357" s="643">
        <v>88.04</v>
      </c>
      <c r="K357" s="645">
        <f t="shared" si="91"/>
        <v>126425.44</v>
      </c>
      <c r="L357" s="646">
        <f t="shared" si="92"/>
        <v>1450.3600000000006</v>
      </c>
      <c r="M357" s="647">
        <v>1</v>
      </c>
      <c r="N357" s="576">
        <f t="shared" si="93"/>
        <v>1450.3600000000006</v>
      </c>
      <c r="O357" s="648" t="s">
        <v>3</v>
      </c>
      <c r="P357" s="322"/>
    </row>
    <row r="358" spans="1:16" s="115" customFormat="1" ht="15" customHeight="1">
      <c r="A358" s="642" t="s">
        <v>532</v>
      </c>
      <c r="B358" s="554" t="s">
        <v>532</v>
      </c>
      <c r="C358" s="392" t="s">
        <v>53</v>
      </c>
      <c r="D358" s="569">
        <v>41660</v>
      </c>
      <c r="E358" s="570">
        <v>2368</v>
      </c>
      <c r="F358" s="643">
        <v>75.33</v>
      </c>
      <c r="G358" s="644">
        <f t="shared" ref="G358:G366" si="94">SUM(E358*F358)</f>
        <v>178381.44</v>
      </c>
      <c r="H358" s="573"/>
      <c r="I358" s="608">
        <v>41660</v>
      </c>
      <c r="J358" s="643">
        <v>73.05</v>
      </c>
      <c r="K358" s="645">
        <f t="shared" ref="K358:K366" si="95">SUM(E358*J358)</f>
        <v>172982.39999999999</v>
      </c>
      <c r="L358" s="646">
        <f t="shared" ref="L358:L366" si="96">SUM(K358-G358)</f>
        <v>-5399.0400000000081</v>
      </c>
      <c r="M358" s="647">
        <v>1</v>
      </c>
      <c r="N358" s="576">
        <f t="shared" ref="N358:N366" si="97">SUM(L358*M358)</f>
        <v>-5399.0400000000081</v>
      </c>
      <c r="O358" s="648" t="s">
        <v>3</v>
      </c>
      <c r="P358" s="322"/>
    </row>
    <row r="359" spans="1:16" ht="15" customHeight="1">
      <c r="A359" s="642" t="s">
        <v>1350</v>
      </c>
      <c r="B359" s="554" t="s">
        <v>1357</v>
      </c>
      <c r="C359" s="392" t="s">
        <v>53</v>
      </c>
      <c r="D359" s="569">
        <v>41533</v>
      </c>
      <c r="E359" s="570">
        <v>692</v>
      </c>
      <c r="F359" s="643">
        <v>68.7</v>
      </c>
      <c r="G359" s="644">
        <f t="shared" si="94"/>
        <v>47540.4</v>
      </c>
      <c r="H359" s="573"/>
      <c r="I359" s="608">
        <v>41666</v>
      </c>
      <c r="J359" s="643">
        <v>76.44</v>
      </c>
      <c r="K359" s="645">
        <f t="shared" si="95"/>
        <v>52896.479999999996</v>
      </c>
      <c r="L359" s="646">
        <f t="shared" si="96"/>
        <v>5356.0799999999945</v>
      </c>
      <c r="M359" s="647">
        <v>1</v>
      </c>
      <c r="N359" s="576">
        <f t="shared" si="97"/>
        <v>5356.0799999999945</v>
      </c>
      <c r="O359" s="664"/>
      <c r="P359" s="115"/>
    </row>
    <row r="360" spans="1:16" s="115" customFormat="1" ht="15" customHeight="1">
      <c r="A360" s="642" t="s">
        <v>1332</v>
      </c>
      <c r="B360" s="554" t="s">
        <v>1333</v>
      </c>
      <c r="C360" s="392" t="s">
        <v>53</v>
      </c>
      <c r="D360" s="569">
        <v>41526</v>
      </c>
      <c r="E360" s="570">
        <v>831</v>
      </c>
      <c r="F360" s="643">
        <v>68.75</v>
      </c>
      <c r="G360" s="644">
        <f t="shared" si="94"/>
        <v>57131.25</v>
      </c>
      <c r="H360" s="573"/>
      <c r="I360" s="608">
        <v>41666</v>
      </c>
      <c r="J360" s="643">
        <v>71.180000000000007</v>
      </c>
      <c r="K360" s="645">
        <f t="shared" si="95"/>
        <v>59150.580000000009</v>
      </c>
      <c r="L360" s="646">
        <f t="shared" si="96"/>
        <v>2019.330000000009</v>
      </c>
      <c r="M360" s="647">
        <v>1</v>
      </c>
      <c r="N360" s="576">
        <f t="shared" si="97"/>
        <v>2019.330000000009</v>
      </c>
      <c r="O360" s="664"/>
    </row>
    <row r="361" spans="1:16" s="115" customFormat="1" ht="15" customHeight="1">
      <c r="A361" s="642" t="s">
        <v>1506</v>
      </c>
      <c r="B361" s="611" t="s">
        <v>1518</v>
      </c>
      <c r="C361" s="48" t="s">
        <v>53</v>
      </c>
      <c r="D361" s="658">
        <v>41485</v>
      </c>
      <c r="E361" s="659">
        <v>820</v>
      </c>
      <c r="F361" s="660">
        <v>93.03</v>
      </c>
      <c r="G361" s="644">
        <f t="shared" si="94"/>
        <v>76284.600000000006</v>
      </c>
      <c r="H361" s="660"/>
      <c r="I361" s="608">
        <v>41666</v>
      </c>
      <c r="J361" s="661">
        <v>112.03</v>
      </c>
      <c r="K361" s="645">
        <f t="shared" si="95"/>
        <v>91864.6</v>
      </c>
      <c r="L361" s="646">
        <f t="shared" si="96"/>
        <v>15580</v>
      </c>
      <c r="M361" s="647">
        <v>1</v>
      </c>
      <c r="N361" s="576">
        <f t="shared" si="97"/>
        <v>15580</v>
      </c>
      <c r="O361" s="664"/>
    </row>
    <row r="362" spans="1:16" s="115" customFormat="1" ht="15" customHeight="1">
      <c r="A362" s="642" t="s">
        <v>1507</v>
      </c>
      <c r="B362" s="554" t="s">
        <v>1519</v>
      </c>
      <c r="C362" s="392" t="s">
        <v>53</v>
      </c>
      <c r="D362" s="569">
        <v>41526</v>
      </c>
      <c r="E362" s="570">
        <v>506</v>
      </c>
      <c r="F362" s="643">
        <v>102.34</v>
      </c>
      <c r="G362" s="644">
        <f t="shared" si="94"/>
        <v>51784.04</v>
      </c>
      <c r="H362" s="573"/>
      <c r="I362" s="608">
        <v>41666</v>
      </c>
      <c r="J362" s="661">
        <v>112.03</v>
      </c>
      <c r="K362" s="645">
        <f t="shared" si="95"/>
        <v>56687.18</v>
      </c>
      <c r="L362" s="646">
        <f t="shared" si="96"/>
        <v>4903.1399999999994</v>
      </c>
      <c r="M362" s="647">
        <v>1</v>
      </c>
      <c r="N362" s="576">
        <f t="shared" si="97"/>
        <v>4903.1399999999994</v>
      </c>
      <c r="O362" s="664"/>
    </row>
    <row r="363" spans="1:16" s="115" customFormat="1" ht="15" customHeight="1">
      <c r="A363" s="642" t="s">
        <v>1508</v>
      </c>
      <c r="B363" s="555" t="s">
        <v>1520</v>
      </c>
      <c r="C363" s="581" t="s">
        <v>53</v>
      </c>
      <c r="D363" s="578">
        <v>41589</v>
      </c>
      <c r="E363" s="579">
        <v>869</v>
      </c>
      <c r="F363" s="662">
        <v>111.97</v>
      </c>
      <c r="G363" s="644">
        <f t="shared" si="94"/>
        <v>97301.93</v>
      </c>
      <c r="H363" s="573"/>
      <c r="I363" s="609">
        <v>41666</v>
      </c>
      <c r="J363" s="662">
        <v>112.03</v>
      </c>
      <c r="K363" s="645">
        <f t="shared" si="95"/>
        <v>97354.07</v>
      </c>
      <c r="L363" s="646">
        <f t="shared" si="96"/>
        <v>52.14000000001397</v>
      </c>
      <c r="M363" s="663">
        <v>1</v>
      </c>
      <c r="N363" s="576">
        <f t="shared" si="97"/>
        <v>52.14000000001397</v>
      </c>
      <c r="O363" s="664"/>
    </row>
    <row r="364" spans="1:16" s="115" customFormat="1" ht="15" customHeight="1">
      <c r="A364" s="642" t="s">
        <v>497</v>
      </c>
      <c r="B364" s="554" t="s">
        <v>498</v>
      </c>
      <c r="C364" s="392" t="s">
        <v>53</v>
      </c>
      <c r="D364" s="569">
        <v>41563</v>
      </c>
      <c r="E364" s="570">
        <v>1140</v>
      </c>
      <c r="F364" s="643">
        <v>74.150000000000006</v>
      </c>
      <c r="G364" s="644">
        <f t="shared" si="94"/>
        <v>84531</v>
      </c>
      <c r="H364" s="573"/>
      <c r="I364" s="608">
        <v>41666</v>
      </c>
      <c r="J364" s="643">
        <v>74.08</v>
      </c>
      <c r="K364" s="645">
        <f t="shared" si="95"/>
        <v>84451.199999999997</v>
      </c>
      <c r="L364" s="646">
        <f t="shared" si="96"/>
        <v>-79.80000000000291</v>
      </c>
      <c r="M364" s="647">
        <v>1</v>
      </c>
      <c r="N364" s="576">
        <f t="shared" si="97"/>
        <v>-79.80000000000291</v>
      </c>
      <c r="O364" s="664"/>
    </row>
    <row r="365" spans="1:16" s="115" customFormat="1" ht="15" customHeight="1">
      <c r="A365" s="642" t="s">
        <v>1487</v>
      </c>
      <c r="B365" s="555" t="s">
        <v>1484</v>
      </c>
      <c r="C365" s="581" t="s">
        <v>53</v>
      </c>
      <c r="D365" s="578">
        <v>41604</v>
      </c>
      <c r="E365" s="579">
        <v>11223</v>
      </c>
      <c r="F365" s="662">
        <v>9.23</v>
      </c>
      <c r="G365" s="644">
        <f t="shared" si="94"/>
        <v>103588.29000000001</v>
      </c>
      <c r="H365" s="573"/>
      <c r="I365" s="609">
        <v>41668</v>
      </c>
      <c r="J365" s="662">
        <v>9.1999999999999993</v>
      </c>
      <c r="K365" s="645">
        <f t="shared" si="95"/>
        <v>103251.59999999999</v>
      </c>
      <c r="L365" s="646">
        <f t="shared" si="96"/>
        <v>-336.69000000001688</v>
      </c>
      <c r="M365" s="663">
        <v>1</v>
      </c>
      <c r="N365" s="576">
        <f t="shared" si="97"/>
        <v>-336.69000000001688</v>
      </c>
      <c r="O365" s="664"/>
    </row>
    <row r="366" spans="1:16" s="115" customFormat="1" ht="15" customHeight="1">
      <c r="A366" s="642" t="s">
        <v>1401</v>
      </c>
      <c r="B366" s="554" t="s">
        <v>1402</v>
      </c>
      <c r="C366" s="392" t="s">
        <v>53</v>
      </c>
      <c r="D366" s="569">
        <v>41564</v>
      </c>
      <c r="E366" s="570">
        <v>2083</v>
      </c>
      <c r="F366" s="643">
        <v>28.4</v>
      </c>
      <c r="G366" s="644">
        <f t="shared" si="94"/>
        <v>59157.2</v>
      </c>
      <c r="H366" s="573"/>
      <c r="I366" s="608">
        <v>41668</v>
      </c>
      <c r="J366" s="643">
        <v>30.44</v>
      </c>
      <c r="K366" s="645">
        <f t="shared" si="95"/>
        <v>63406.520000000004</v>
      </c>
      <c r="L366" s="646">
        <f t="shared" si="96"/>
        <v>4249.320000000007</v>
      </c>
      <c r="M366" s="647">
        <v>1</v>
      </c>
      <c r="N366" s="576">
        <f t="shared" si="97"/>
        <v>4249.320000000007</v>
      </c>
      <c r="O366" s="664"/>
    </row>
    <row r="367" spans="1:16" s="117" customFormat="1" ht="15" customHeight="1">
      <c r="A367" s="642" t="s">
        <v>1526</v>
      </c>
      <c r="B367" s="554" t="s">
        <v>1527</v>
      </c>
      <c r="C367" s="392" t="s">
        <v>53</v>
      </c>
      <c r="D367" s="569">
        <v>41626</v>
      </c>
      <c r="E367" s="570">
        <v>1405</v>
      </c>
      <c r="F367" s="643">
        <v>76.849999999999994</v>
      </c>
      <c r="G367" s="644">
        <f t="shared" ref="G367:G377" si="98">SUM(E367*F367)</f>
        <v>107974.24999999999</v>
      </c>
      <c r="H367" s="573"/>
      <c r="I367" s="608">
        <v>41670</v>
      </c>
      <c r="J367" s="643">
        <v>75.5</v>
      </c>
      <c r="K367" s="645">
        <f t="shared" ref="K367:K377" si="99">SUM(E367*J367)</f>
        <v>106077.5</v>
      </c>
      <c r="L367" s="646">
        <f t="shared" ref="L367:L377" si="100">SUM(K367-G367)</f>
        <v>-1896.7499999999854</v>
      </c>
      <c r="M367" s="647">
        <v>1</v>
      </c>
      <c r="N367" s="576">
        <f t="shared" ref="N367:N377" si="101">SUM(L367*M367)</f>
        <v>-1896.7499999999854</v>
      </c>
      <c r="O367" s="648" t="s">
        <v>3</v>
      </c>
      <c r="P367" s="322"/>
    </row>
    <row r="368" spans="1:16" s="115" customFormat="1" ht="15" customHeight="1">
      <c r="A368" s="642" t="s">
        <v>1347</v>
      </c>
      <c r="B368" s="554" t="s">
        <v>1359</v>
      </c>
      <c r="C368" s="392" t="s">
        <v>53</v>
      </c>
      <c r="D368" s="569">
        <v>41533</v>
      </c>
      <c r="E368" s="570">
        <v>1203</v>
      </c>
      <c r="F368" s="643">
        <v>49.29</v>
      </c>
      <c r="G368" s="644">
        <f t="shared" si="98"/>
        <v>59295.869999999995</v>
      </c>
      <c r="H368" s="573"/>
      <c r="I368" s="608">
        <v>41674</v>
      </c>
      <c r="J368" s="643">
        <v>56.76</v>
      </c>
      <c r="K368" s="645">
        <f t="shared" si="99"/>
        <v>68282.28</v>
      </c>
      <c r="L368" s="646">
        <f t="shared" si="100"/>
        <v>8986.4100000000035</v>
      </c>
      <c r="M368" s="647">
        <v>1</v>
      </c>
      <c r="N368" s="576">
        <f t="shared" si="101"/>
        <v>8986.4100000000035</v>
      </c>
      <c r="O368" s="648" t="s">
        <v>3</v>
      </c>
      <c r="P368" s="320"/>
    </row>
    <row r="369" spans="1:16" s="115" customFormat="1" ht="15" customHeight="1">
      <c r="A369" s="642" t="s">
        <v>1191</v>
      </c>
      <c r="B369" s="611" t="s">
        <v>1192</v>
      </c>
      <c r="C369" s="48" t="s">
        <v>53</v>
      </c>
      <c r="D369" s="658">
        <v>41473</v>
      </c>
      <c r="E369" s="659">
        <v>1174</v>
      </c>
      <c r="F369" s="660">
        <v>44.755000000000003</v>
      </c>
      <c r="G369" s="644">
        <f t="shared" si="98"/>
        <v>52542.37</v>
      </c>
      <c r="H369" s="660"/>
      <c r="I369" s="608">
        <v>41674</v>
      </c>
      <c r="J369" s="661">
        <v>52.63</v>
      </c>
      <c r="K369" s="645">
        <f t="shared" si="99"/>
        <v>61787.62</v>
      </c>
      <c r="L369" s="646">
        <f t="shared" si="100"/>
        <v>9245.25</v>
      </c>
      <c r="M369" s="647">
        <v>1</v>
      </c>
      <c r="N369" s="576">
        <f t="shared" si="101"/>
        <v>9245.25</v>
      </c>
      <c r="O369" s="648"/>
      <c r="P369" s="322"/>
    </row>
    <row r="370" spans="1:16" s="115" customFormat="1" ht="15" customHeight="1">
      <c r="A370" s="425" t="s">
        <v>1501</v>
      </c>
      <c r="B370" s="555" t="s">
        <v>1502</v>
      </c>
      <c r="C370" s="446" t="s">
        <v>53</v>
      </c>
      <c r="D370" s="447">
        <v>41612</v>
      </c>
      <c r="E370" s="448">
        <v>422</v>
      </c>
      <c r="F370" s="655">
        <v>227.1</v>
      </c>
      <c r="G370" s="656">
        <f t="shared" si="98"/>
        <v>95836.2</v>
      </c>
      <c r="H370" s="451"/>
      <c r="I370" s="534">
        <v>41675</v>
      </c>
      <c r="J370" s="655">
        <v>225.25</v>
      </c>
      <c r="K370" s="636">
        <f t="shared" si="99"/>
        <v>95055.5</v>
      </c>
      <c r="L370" s="637">
        <f t="shared" si="100"/>
        <v>-780.69999999999709</v>
      </c>
      <c r="M370" s="657">
        <v>1</v>
      </c>
      <c r="N370" s="454">
        <f t="shared" si="101"/>
        <v>-780.69999999999709</v>
      </c>
      <c r="O370" s="442"/>
    </row>
    <row r="371" spans="1:16" s="115" customFormat="1" ht="15" customHeight="1">
      <c r="A371" s="642" t="s">
        <v>1528</v>
      </c>
      <c r="B371" s="554" t="s">
        <v>1229</v>
      </c>
      <c r="C371" s="392" t="s">
        <v>53</v>
      </c>
      <c r="D371" s="569">
        <v>41627</v>
      </c>
      <c r="E371" s="570">
        <v>669</v>
      </c>
      <c r="F371" s="643">
        <v>97.71</v>
      </c>
      <c r="G371" s="644">
        <f t="shared" si="98"/>
        <v>65367.99</v>
      </c>
      <c r="H371" s="573"/>
      <c r="I371" s="608">
        <v>41676</v>
      </c>
      <c r="J371" s="643">
        <v>93.01</v>
      </c>
      <c r="K371" s="645">
        <f t="shared" si="99"/>
        <v>62223.69</v>
      </c>
      <c r="L371" s="646">
        <f t="shared" si="100"/>
        <v>-3144.2999999999956</v>
      </c>
      <c r="M371" s="647">
        <v>1</v>
      </c>
      <c r="N371" s="576">
        <f t="shared" si="101"/>
        <v>-3144.2999999999956</v>
      </c>
      <c r="O371" s="648" t="s">
        <v>3</v>
      </c>
      <c r="P371" s="322"/>
    </row>
    <row r="372" spans="1:16" s="115" customFormat="1" ht="15.95" customHeight="1">
      <c r="A372" s="642" t="s">
        <v>1513</v>
      </c>
      <c r="B372" s="611" t="s">
        <v>1514</v>
      </c>
      <c r="C372" s="48" t="s">
        <v>53</v>
      </c>
      <c r="D372" s="658">
        <v>41451</v>
      </c>
      <c r="E372" s="659">
        <v>3457</v>
      </c>
      <c r="F372" s="660">
        <v>12.34</v>
      </c>
      <c r="G372" s="644">
        <f t="shared" si="98"/>
        <v>42659.38</v>
      </c>
      <c r="H372" s="660"/>
      <c r="I372" s="608">
        <v>41674</v>
      </c>
      <c r="J372" s="661">
        <v>19.43</v>
      </c>
      <c r="K372" s="645">
        <f t="shared" si="99"/>
        <v>67169.509999999995</v>
      </c>
      <c r="L372" s="646">
        <f t="shared" si="100"/>
        <v>24510.129999999997</v>
      </c>
      <c r="M372" s="647">
        <v>1</v>
      </c>
      <c r="N372" s="576">
        <f t="shared" si="101"/>
        <v>24510.129999999997</v>
      </c>
      <c r="O372" s="664"/>
    </row>
    <row r="373" spans="1:16" ht="15.95" customHeight="1">
      <c r="A373" s="425" t="s">
        <v>1498</v>
      </c>
      <c r="B373" s="555" t="s">
        <v>1515</v>
      </c>
      <c r="C373" s="446" t="s">
        <v>53</v>
      </c>
      <c r="D373" s="447">
        <v>41610</v>
      </c>
      <c r="E373" s="448">
        <v>4872</v>
      </c>
      <c r="F373" s="655">
        <v>18.18</v>
      </c>
      <c r="G373" s="656">
        <f t="shared" si="98"/>
        <v>88572.959999999992</v>
      </c>
      <c r="H373" s="451"/>
      <c r="I373" s="534">
        <v>41674</v>
      </c>
      <c r="J373" s="655">
        <v>19.43</v>
      </c>
      <c r="K373" s="636">
        <f t="shared" si="99"/>
        <v>94662.959999999992</v>
      </c>
      <c r="L373" s="637">
        <f t="shared" si="100"/>
        <v>6090</v>
      </c>
      <c r="M373" s="657">
        <v>1</v>
      </c>
      <c r="N373" s="454">
        <f t="shared" si="101"/>
        <v>6090</v>
      </c>
      <c r="O373" s="442"/>
      <c r="P373" s="115"/>
    </row>
    <row r="374" spans="1:16" s="115" customFormat="1" ht="15" customHeight="1">
      <c r="A374" s="642" t="s">
        <v>1509</v>
      </c>
      <c r="B374" s="611" t="s">
        <v>1188</v>
      </c>
      <c r="C374" s="48" t="s">
        <v>53</v>
      </c>
      <c r="D374" s="658">
        <v>41457</v>
      </c>
      <c r="E374" s="659">
        <v>2200</v>
      </c>
      <c r="F374" s="660">
        <v>36.450000000000003</v>
      </c>
      <c r="G374" s="644">
        <f t="shared" si="98"/>
        <v>80190</v>
      </c>
      <c r="H374" s="660"/>
      <c r="I374" s="608">
        <v>41674</v>
      </c>
      <c r="J374" s="661">
        <v>39.24</v>
      </c>
      <c r="K374" s="645">
        <f t="shared" si="99"/>
        <v>86328</v>
      </c>
      <c r="L374" s="646">
        <f t="shared" si="100"/>
        <v>6138</v>
      </c>
      <c r="M374" s="647">
        <v>1</v>
      </c>
      <c r="N374" s="576">
        <f t="shared" si="101"/>
        <v>6138</v>
      </c>
      <c r="O374" s="664"/>
    </row>
    <row r="375" spans="1:16" s="115" customFormat="1" ht="15" customHeight="1">
      <c r="A375" s="642" t="s">
        <v>1510</v>
      </c>
      <c r="B375" s="555" t="s">
        <v>1188</v>
      </c>
      <c r="C375" s="581" t="s">
        <v>53</v>
      </c>
      <c r="D375" s="578">
        <v>41597</v>
      </c>
      <c r="E375" s="579">
        <v>4216</v>
      </c>
      <c r="F375" s="662">
        <v>38.75</v>
      </c>
      <c r="G375" s="644">
        <f t="shared" si="98"/>
        <v>163370</v>
      </c>
      <c r="H375" s="573"/>
      <c r="I375" s="608">
        <v>41674</v>
      </c>
      <c r="J375" s="662">
        <v>39.24</v>
      </c>
      <c r="K375" s="645">
        <f t="shared" si="99"/>
        <v>165435.84</v>
      </c>
      <c r="L375" s="646">
        <f t="shared" si="100"/>
        <v>2065.8399999999965</v>
      </c>
      <c r="M375" s="663">
        <v>1</v>
      </c>
      <c r="N375" s="576">
        <f t="shared" si="101"/>
        <v>2065.8399999999965</v>
      </c>
      <c r="O375" s="664"/>
    </row>
    <row r="376" spans="1:16" s="115" customFormat="1" ht="15" customHeight="1">
      <c r="A376" s="642" t="s">
        <v>1351</v>
      </c>
      <c r="B376" s="554" t="s">
        <v>1356</v>
      </c>
      <c r="C376" s="392" t="s">
        <v>53</v>
      </c>
      <c r="D376" s="569">
        <v>41534</v>
      </c>
      <c r="E376" s="570">
        <v>1408</v>
      </c>
      <c r="F376" s="643">
        <v>50.5</v>
      </c>
      <c r="G376" s="644">
        <f t="shared" si="98"/>
        <v>71104</v>
      </c>
      <c r="H376" s="573"/>
      <c r="I376" s="608">
        <v>41674</v>
      </c>
      <c r="J376" s="643">
        <v>59.26</v>
      </c>
      <c r="K376" s="645">
        <f t="shared" si="99"/>
        <v>83438.080000000002</v>
      </c>
      <c r="L376" s="646">
        <f t="shared" si="100"/>
        <v>12334.080000000002</v>
      </c>
      <c r="M376" s="647">
        <v>1</v>
      </c>
      <c r="N376" s="576">
        <f t="shared" si="101"/>
        <v>12334.080000000002</v>
      </c>
      <c r="O376" s="664"/>
    </row>
    <row r="377" spans="1:16" s="115" customFormat="1" ht="15" customHeight="1">
      <c r="A377" s="642" t="s">
        <v>1471</v>
      </c>
      <c r="B377" s="555" t="s">
        <v>1472</v>
      </c>
      <c r="C377" s="581" t="s">
        <v>53</v>
      </c>
      <c r="D377" s="578">
        <v>41596</v>
      </c>
      <c r="E377" s="579">
        <v>1466</v>
      </c>
      <c r="F377" s="662">
        <v>69.099999999999994</v>
      </c>
      <c r="G377" s="644">
        <f t="shared" si="98"/>
        <v>101300.59999999999</v>
      </c>
      <c r="H377" s="573"/>
      <c r="I377" s="608">
        <v>41674</v>
      </c>
      <c r="J377" s="662">
        <v>69.540000000000006</v>
      </c>
      <c r="K377" s="645">
        <f t="shared" si="99"/>
        <v>101945.64000000001</v>
      </c>
      <c r="L377" s="646">
        <f t="shared" si="100"/>
        <v>645.0400000000227</v>
      </c>
      <c r="M377" s="663">
        <v>1</v>
      </c>
      <c r="N377" s="576">
        <f t="shared" si="101"/>
        <v>645.0400000000227</v>
      </c>
      <c r="O377" s="664"/>
    </row>
    <row r="378" spans="1:16" s="115" customFormat="1" ht="15" customHeight="1">
      <c r="A378" s="484" t="s">
        <v>1551</v>
      </c>
      <c r="B378" s="605" t="s">
        <v>1550</v>
      </c>
      <c r="C378" s="457" t="s">
        <v>78</v>
      </c>
      <c r="D378" s="458">
        <v>41647</v>
      </c>
      <c r="E378" s="459">
        <v>1886</v>
      </c>
      <c r="F378" s="649">
        <v>83.41</v>
      </c>
      <c r="G378" s="650">
        <f>SUM(E378*F378)</f>
        <v>157311.25999999998</v>
      </c>
      <c r="H378" s="462"/>
      <c r="I378" s="534">
        <v>41684</v>
      </c>
      <c r="J378" s="649">
        <v>80.3</v>
      </c>
      <c r="K378" s="651">
        <f>SUM(E378*J378)</f>
        <v>151445.79999999999</v>
      </c>
      <c r="L378" s="652">
        <f>SUM(G378-K378)</f>
        <v>5865.4599999999919</v>
      </c>
      <c r="M378" s="653">
        <v>1</v>
      </c>
      <c r="N378" s="465">
        <f>SUM(L378*M378)</f>
        <v>5865.4599999999919</v>
      </c>
      <c r="O378" s="654"/>
      <c r="P378" s="117"/>
    </row>
    <row r="379" spans="1:16" s="115" customFormat="1" ht="15" customHeight="1">
      <c r="A379" s="642" t="s">
        <v>1161</v>
      </c>
      <c r="B379" s="555" t="s">
        <v>1160</v>
      </c>
      <c r="C379" s="581" t="s">
        <v>53</v>
      </c>
      <c r="D379" s="578">
        <v>41589</v>
      </c>
      <c r="E379" s="579">
        <v>2573</v>
      </c>
      <c r="F379" s="662">
        <v>48.76</v>
      </c>
      <c r="G379" s="644">
        <f t="shared" ref="G379" si="102">SUM(E379*F379)</f>
        <v>125459.48</v>
      </c>
      <c r="H379" s="573"/>
      <c r="I379" s="609">
        <v>41689</v>
      </c>
      <c r="J379" s="662">
        <v>91.65</v>
      </c>
      <c r="K379" s="645">
        <f t="shared" ref="K379" si="103">SUM(E379*J379)</f>
        <v>235815.45</v>
      </c>
      <c r="L379" s="646">
        <f>SUM(K379-G379)</f>
        <v>110355.97000000002</v>
      </c>
      <c r="M379" s="663">
        <v>1</v>
      </c>
      <c r="N379" s="576">
        <f t="shared" ref="N379" si="104">SUM(L379*M379)</f>
        <v>110355.97000000002</v>
      </c>
      <c r="O379" s="664"/>
    </row>
    <row r="380" spans="1:16" s="115" customFormat="1" ht="15" customHeight="1">
      <c r="A380" s="642" t="s">
        <v>1595</v>
      </c>
      <c r="B380" s="554" t="s">
        <v>1596</v>
      </c>
      <c r="C380" s="392" t="s">
        <v>53</v>
      </c>
      <c r="D380" s="569">
        <v>41694</v>
      </c>
      <c r="E380" s="570">
        <v>4398</v>
      </c>
      <c r="F380" s="661">
        <v>19.420000000000002</v>
      </c>
      <c r="G380" s="644">
        <f t="shared" ref="G380:G385" si="105">SUM(E380*F380)</f>
        <v>85409.16</v>
      </c>
      <c r="H380" s="573"/>
      <c r="I380" s="608">
        <v>41701</v>
      </c>
      <c r="J380" s="827">
        <v>18.239999999999998</v>
      </c>
      <c r="K380" s="645">
        <f t="shared" ref="K380:K385" si="106">SUM(E380*J380)</f>
        <v>80219.51999999999</v>
      </c>
      <c r="L380" s="646">
        <f>SUM(K380-G380)</f>
        <v>-5189.640000000014</v>
      </c>
      <c r="M380" s="647">
        <v>1</v>
      </c>
      <c r="N380" s="576">
        <f t="shared" ref="N380:N385" si="107">SUM(L380*M380)</f>
        <v>-5189.640000000014</v>
      </c>
      <c r="O380" s="648" t="s">
        <v>3</v>
      </c>
      <c r="P380" s="322"/>
    </row>
    <row r="381" spans="1:16" s="115" customFormat="1" ht="15" customHeight="1">
      <c r="A381" s="642" t="s">
        <v>1548</v>
      </c>
      <c r="B381" s="554" t="s">
        <v>1549</v>
      </c>
      <c r="C381" s="392" t="s">
        <v>53</v>
      </c>
      <c r="D381" s="569">
        <v>41645</v>
      </c>
      <c r="E381" s="570">
        <v>3772</v>
      </c>
      <c r="F381" s="661">
        <v>22.87</v>
      </c>
      <c r="G381" s="644">
        <f t="shared" si="105"/>
        <v>86265.64</v>
      </c>
      <c r="H381" s="573"/>
      <c r="I381" s="608">
        <v>41710</v>
      </c>
      <c r="J381" s="827">
        <v>25.28</v>
      </c>
      <c r="K381" s="645">
        <f t="shared" si="106"/>
        <v>95356.160000000003</v>
      </c>
      <c r="L381" s="646">
        <f>SUM(K381-G381)</f>
        <v>9090.5200000000041</v>
      </c>
      <c r="M381" s="647">
        <v>1</v>
      </c>
      <c r="N381" s="576">
        <f t="shared" si="107"/>
        <v>9090.5200000000041</v>
      </c>
      <c r="O381" s="648" t="s">
        <v>3</v>
      </c>
      <c r="P381" s="322"/>
    </row>
    <row r="382" spans="1:16" s="115" customFormat="1" ht="15" customHeight="1">
      <c r="A382" s="642" t="s">
        <v>1580</v>
      </c>
      <c r="B382" s="554" t="s">
        <v>1581</v>
      </c>
      <c r="C382" s="392" t="s">
        <v>53</v>
      </c>
      <c r="D382" s="569">
        <v>41681</v>
      </c>
      <c r="E382" s="570">
        <v>2668</v>
      </c>
      <c r="F382" s="661">
        <v>32.31</v>
      </c>
      <c r="G382" s="644">
        <f t="shared" si="105"/>
        <v>86203.08</v>
      </c>
      <c r="H382" s="573"/>
      <c r="I382" s="608">
        <v>41708</v>
      </c>
      <c r="J382" s="827">
        <v>33.1</v>
      </c>
      <c r="K382" s="645">
        <f t="shared" si="106"/>
        <v>88310.8</v>
      </c>
      <c r="L382" s="646">
        <f>SUM(K382-G382)</f>
        <v>2107.7200000000012</v>
      </c>
      <c r="M382" s="647">
        <v>1</v>
      </c>
      <c r="N382" s="576">
        <f t="shared" si="107"/>
        <v>2107.7200000000012</v>
      </c>
      <c r="O382" s="648" t="s">
        <v>3</v>
      </c>
      <c r="P382" s="322"/>
    </row>
    <row r="383" spans="1:16" s="115" customFormat="1" ht="15" customHeight="1">
      <c r="A383" s="642" t="s">
        <v>1601</v>
      </c>
      <c r="B383" s="554" t="s">
        <v>1300</v>
      </c>
      <c r="C383" s="392" t="s">
        <v>53</v>
      </c>
      <c r="D383" s="569">
        <v>41705</v>
      </c>
      <c r="E383" s="570">
        <v>998</v>
      </c>
      <c r="F383" s="661">
        <v>138.44999999999999</v>
      </c>
      <c r="G383" s="644">
        <f t="shared" si="105"/>
        <v>138173.09999999998</v>
      </c>
      <c r="H383" s="573"/>
      <c r="I383" s="608">
        <v>41723</v>
      </c>
      <c r="J383" s="827">
        <v>133.77000000000001</v>
      </c>
      <c r="K383" s="645">
        <f t="shared" si="106"/>
        <v>133502.46000000002</v>
      </c>
      <c r="L383" s="646">
        <f>SUM(K383-G383)</f>
        <v>-4670.6399999999558</v>
      </c>
      <c r="M383" s="647">
        <v>1</v>
      </c>
      <c r="N383" s="576">
        <f t="shared" si="107"/>
        <v>-4670.6399999999558</v>
      </c>
      <c r="O383" s="648" t="s">
        <v>3</v>
      </c>
      <c r="P383" s="322"/>
    </row>
    <row r="384" spans="1:16" s="115" customFormat="1" ht="15" customHeight="1">
      <c r="A384" s="484" t="s">
        <v>1623</v>
      </c>
      <c r="B384" s="605" t="s">
        <v>1624</v>
      </c>
      <c r="C384" s="457" t="s">
        <v>78</v>
      </c>
      <c r="D384" s="458">
        <v>41719</v>
      </c>
      <c r="E384" s="459">
        <v>6446</v>
      </c>
      <c r="F384" s="821">
        <v>18.71</v>
      </c>
      <c r="G384" s="650">
        <f t="shared" si="105"/>
        <v>120604.66</v>
      </c>
      <c r="H384" s="462"/>
      <c r="I384" s="534">
        <v>41723</v>
      </c>
      <c r="J384" s="828">
        <v>19.39</v>
      </c>
      <c r="K384" s="651">
        <f t="shared" si="106"/>
        <v>124987.94</v>
      </c>
      <c r="L384" s="652">
        <f>SUM(G384-K384)</f>
        <v>-4383.2799999999988</v>
      </c>
      <c r="M384" s="653">
        <v>1</v>
      </c>
      <c r="N384" s="465">
        <f t="shared" si="107"/>
        <v>-4383.2799999999988</v>
      </c>
      <c r="O384" s="654"/>
      <c r="P384" s="117"/>
    </row>
    <row r="385" spans="1:16" s="115" customFormat="1" ht="15" customHeight="1">
      <c r="A385" s="642" t="s">
        <v>1477</v>
      </c>
      <c r="B385" s="555" t="s">
        <v>1478</v>
      </c>
      <c r="C385" s="581" t="s">
        <v>53</v>
      </c>
      <c r="D385" s="578">
        <v>41597</v>
      </c>
      <c r="E385" s="579">
        <v>1975</v>
      </c>
      <c r="F385" s="822">
        <v>66.760000000000005</v>
      </c>
      <c r="G385" s="644">
        <f t="shared" si="105"/>
        <v>131851</v>
      </c>
      <c r="H385" s="573"/>
      <c r="I385" s="609">
        <v>41733</v>
      </c>
      <c r="J385" s="830">
        <v>67.900000000000006</v>
      </c>
      <c r="K385" s="645">
        <f t="shared" si="106"/>
        <v>134102.5</v>
      </c>
      <c r="L385" s="646">
        <f t="shared" ref="L385:L392" si="108">SUM(K385-G385)</f>
        <v>2251.5</v>
      </c>
      <c r="M385" s="663">
        <v>1</v>
      </c>
      <c r="N385" s="576">
        <f t="shared" si="107"/>
        <v>2251.5</v>
      </c>
      <c r="O385" s="664"/>
    </row>
    <row r="386" spans="1:16" s="115" customFormat="1" ht="15" customHeight="1">
      <c r="A386" s="642" t="s">
        <v>607</v>
      </c>
      <c r="B386" s="554" t="s">
        <v>608</v>
      </c>
      <c r="C386" s="392" t="s">
        <v>53</v>
      </c>
      <c r="D386" s="569">
        <v>41681</v>
      </c>
      <c r="E386" s="570">
        <v>3060</v>
      </c>
      <c r="F386" s="661">
        <v>37.89</v>
      </c>
      <c r="G386" s="644">
        <f t="shared" ref="G386:G392" si="109">SUM(E386*F386)</f>
        <v>115943.40000000001</v>
      </c>
      <c r="H386" s="573"/>
      <c r="I386" s="608">
        <v>41737</v>
      </c>
      <c r="J386" s="827">
        <v>38</v>
      </c>
      <c r="K386" s="645">
        <f t="shared" ref="K386:K392" si="110">SUM(E386*J386)</f>
        <v>116280</v>
      </c>
      <c r="L386" s="646">
        <f t="shared" si="108"/>
        <v>336.59999999999127</v>
      </c>
      <c r="M386" s="647">
        <v>1</v>
      </c>
      <c r="N386" s="576">
        <f t="shared" ref="N386:N392" si="111">SUM(L386*M386)</f>
        <v>336.59999999999127</v>
      </c>
      <c r="O386" s="648" t="s">
        <v>3</v>
      </c>
      <c r="P386" s="322"/>
    </row>
    <row r="387" spans="1:16" s="115" customFormat="1" ht="15" customHeight="1">
      <c r="A387" s="642" t="s">
        <v>1599</v>
      </c>
      <c r="B387" s="554" t="s">
        <v>1600</v>
      </c>
      <c r="C387" s="392" t="s">
        <v>53</v>
      </c>
      <c r="D387" s="569">
        <v>41704</v>
      </c>
      <c r="E387" s="570">
        <v>4644</v>
      </c>
      <c r="F387" s="661">
        <v>32.590000000000003</v>
      </c>
      <c r="G387" s="644">
        <f t="shared" si="109"/>
        <v>151347.96000000002</v>
      </c>
      <c r="H387" s="573"/>
      <c r="I387" s="608">
        <v>41739</v>
      </c>
      <c r="J387" s="827">
        <v>33.42</v>
      </c>
      <c r="K387" s="645">
        <f t="shared" si="110"/>
        <v>155202.48000000001</v>
      </c>
      <c r="L387" s="646">
        <f t="shared" si="108"/>
        <v>3854.5199999999895</v>
      </c>
      <c r="M387" s="647">
        <v>1</v>
      </c>
      <c r="N387" s="576">
        <f t="shared" si="111"/>
        <v>3854.5199999999895</v>
      </c>
      <c r="O387" s="648" t="s">
        <v>3</v>
      </c>
      <c r="P387" s="322"/>
    </row>
    <row r="388" spans="1:16" s="115" customFormat="1" ht="15" customHeight="1">
      <c r="A388" s="642" t="s">
        <v>858</v>
      </c>
      <c r="B388" s="554" t="s">
        <v>859</v>
      </c>
      <c r="C388" s="392" t="s">
        <v>53</v>
      </c>
      <c r="D388" s="569">
        <v>41682</v>
      </c>
      <c r="E388" s="570">
        <v>301</v>
      </c>
      <c r="F388" s="661">
        <v>306.89999999999998</v>
      </c>
      <c r="G388" s="644">
        <f t="shared" si="109"/>
        <v>92376.9</v>
      </c>
      <c r="H388" s="573"/>
      <c r="I388" s="608">
        <v>41740</v>
      </c>
      <c r="J388" s="827">
        <v>295.62</v>
      </c>
      <c r="K388" s="645">
        <f t="shared" si="110"/>
        <v>88981.62</v>
      </c>
      <c r="L388" s="646">
        <f t="shared" si="108"/>
        <v>-3395.2799999999988</v>
      </c>
      <c r="M388" s="647">
        <v>1</v>
      </c>
      <c r="N388" s="576">
        <f t="shared" si="111"/>
        <v>-3395.2799999999988</v>
      </c>
      <c r="O388" s="648" t="s">
        <v>3</v>
      </c>
      <c r="P388" s="322"/>
    </row>
    <row r="389" spans="1:16" s="117" customFormat="1" ht="15" customHeight="1">
      <c r="A389" s="642" t="s">
        <v>1579</v>
      </c>
      <c r="B389" s="554" t="s">
        <v>1582</v>
      </c>
      <c r="C389" s="392" t="s">
        <v>53</v>
      </c>
      <c r="D389" s="569">
        <v>41682</v>
      </c>
      <c r="E389" s="570">
        <v>2931</v>
      </c>
      <c r="F389" s="661">
        <v>49.94</v>
      </c>
      <c r="G389" s="644">
        <f t="shared" si="109"/>
        <v>146374.13999999998</v>
      </c>
      <c r="H389" s="573"/>
      <c r="I389" s="608">
        <v>41737</v>
      </c>
      <c r="J389" s="827">
        <v>51.67</v>
      </c>
      <c r="K389" s="645">
        <f t="shared" si="110"/>
        <v>151444.77000000002</v>
      </c>
      <c r="L389" s="646">
        <f t="shared" si="108"/>
        <v>5070.6300000000338</v>
      </c>
      <c r="M389" s="647">
        <v>1</v>
      </c>
      <c r="N389" s="576">
        <f t="shared" si="111"/>
        <v>5070.6300000000338</v>
      </c>
      <c r="O389" s="648" t="s">
        <v>3</v>
      </c>
      <c r="P389" s="322"/>
    </row>
    <row r="390" spans="1:16" s="115" customFormat="1" ht="15" customHeight="1">
      <c r="A390" s="642" t="s">
        <v>1485</v>
      </c>
      <c r="B390" s="554" t="s">
        <v>1486</v>
      </c>
      <c r="C390" s="392" t="s">
        <v>53</v>
      </c>
      <c r="D390" s="569">
        <v>41724</v>
      </c>
      <c r="E390" s="570">
        <v>5178</v>
      </c>
      <c r="F390" s="661">
        <v>48.52</v>
      </c>
      <c r="G390" s="644">
        <f t="shared" si="109"/>
        <v>251236.56000000003</v>
      </c>
      <c r="H390" s="573"/>
      <c r="I390" s="608">
        <v>41738</v>
      </c>
      <c r="J390" s="827">
        <v>47.66</v>
      </c>
      <c r="K390" s="645">
        <f t="shared" si="110"/>
        <v>246783.47999999998</v>
      </c>
      <c r="L390" s="646">
        <f t="shared" si="108"/>
        <v>-4453.0800000000454</v>
      </c>
      <c r="M390" s="647">
        <v>1</v>
      </c>
      <c r="N390" s="576">
        <f t="shared" si="111"/>
        <v>-4453.0800000000454</v>
      </c>
      <c r="O390" s="648" t="s">
        <v>3</v>
      </c>
      <c r="P390" s="322"/>
    </row>
    <row r="391" spans="1:16" s="115" customFormat="1" ht="15" customHeight="1">
      <c r="A391" s="642" t="s">
        <v>1634</v>
      </c>
      <c r="B391" s="554" t="s">
        <v>1635</v>
      </c>
      <c r="C391" s="392" t="s">
        <v>53</v>
      </c>
      <c r="D391" s="569">
        <v>41730</v>
      </c>
      <c r="E391" s="570">
        <v>4028</v>
      </c>
      <c r="F391" s="661">
        <v>32.81</v>
      </c>
      <c r="G391" s="644">
        <f t="shared" si="109"/>
        <v>132158.68000000002</v>
      </c>
      <c r="H391" s="573"/>
      <c r="I391" s="608">
        <v>41736</v>
      </c>
      <c r="J391" s="827">
        <v>31.03</v>
      </c>
      <c r="K391" s="645">
        <f t="shared" si="110"/>
        <v>124988.84000000001</v>
      </c>
      <c r="L391" s="646">
        <f t="shared" si="108"/>
        <v>-7169.8400000000111</v>
      </c>
      <c r="M391" s="647">
        <v>1</v>
      </c>
      <c r="N391" s="576">
        <f t="shared" si="111"/>
        <v>-7169.8400000000111</v>
      </c>
      <c r="O391" s="648" t="s">
        <v>3</v>
      </c>
      <c r="P391" s="322"/>
    </row>
    <row r="392" spans="1:16" s="117" customFormat="1" ht="15" customHeight="1">
      <c r="A392" s="642" t="s">
        <v>482</v>
      </c>
      <c r="B392" s="554" t="s">
        <v>483</v>
      </c>
      <c r="C392" s="392" t="s">
        <v>53</v>
      </c>
      <c r="D392" s="569">
        <v>41648</v>
      </c>
      <c r="E392" s="570">
        <v>3415</v>
      </c>
      <c r="F392" s="661">
        <v>45.64</v>
      </c>
      <c r="G392" s="644">
        <f t="shared" si="109"/>
        <v>155860.6</v>
      </c>
      <c r="H392" s="573"/>
      <c r="I392" s="608">
        <v>41737</v>
      </c>
      <c r="J392" s="827">
        <v>48.53</v>
      </c>
      <c r="K392" s="645">
        <f t="shared" si="110"/>
        <v>165729.95000000001</v>
      </c>
      <c r="L392" s="646">
        <f t="shared" si="108"/>
        <v>9869.3500000000058</v>
      </c>
      <c r="M392" s="647">
        <v>1</v>
      </c>
      <c r="N392" s="576">
        <f t="shared" si="111"/>
        <v>9869.3500000000058</v>
      </c>
      <c r="O392" s="648" t="s">
        <v>3</v>
      </c>
      <c r="P392" s="322"/>
    </row>
    <row r="393" spans="1:16" s="115" customFormat="1" ht="15" customHeight="1">
      <c r="A393" s="642" t="s">
        <v>1631</v>
      </c>
      <c r="B393" s="554" t="s">
        <v>1632</v>
      </c>
      <c r="C393" s="392" t="s">
        <v>53</v>
      </c>
      <c r="D393" s="569">
        <v>41730</v>
      </c>
      <c r="E393" s="570">
        <v>4596</v>
      </c>
      <c r="F393" s="661">
        <v>36.22</v>
      </c>
      <c r="G393" s="644">
        <f t="shared" ref="G393:G398" si="112">SUM(E393*F393)</f>
        <v>166467.12</v>
      </c>
      <c r="H393" s="573"/>
      <c r="I393" s="608">
        <v>41740</v>
      </c>
      <c r="J393" s="827">
        <v>34.659999999999997</v>
      </c>
      <c r="K393" s="645">
        <f t="shared" ref="K393:K398" si="113">SUM(E393*J393)</f>
        <v>159297.35999999999</v>
      </c>
      <c r="L393" s="646">
        <f>SUM(K393-G393)</f>
        <v>-7169.7600000000093</v>
      </c>
      <c r="M393" s="647">
        <v>1</v>
      </c>
      <c r="N393" s="576">
        <f t="shared" ref="N393:N398" si="114">SUM(L393*M393)</f>
        <v>-7169.7600000000093</v>
      </c>
      <c r="O393" s="648" t="s">
        <v>3</v>
      </c>
      <c r="P393" s="322"/>
    </row>
    <row r="394" spans="1:16" s="115" customFormat="1" ht="15" customHeight="1">
      <c r="A394" s="642" t="s">
        <v>1633</v>
      </c>
      <c r="B394" s="554" t="s">
        <v>998</v>
      </c>
      <c r="C394" s="392" t="s">
        <v>53</v>
      </c>
      <c r="D394" s="569">
        <v>41730</v>
      </c>
      <c r="E394" s="570">
        <v>3414</v>
      </c>
      <c r="F394" s="661">
        <v>56.23</v>
      </c>
      <c r="G394" s="644">
        <f t="shared" si="112"/>
        <v>191969.22</v>
      </c>
      <c r="H394" s="573"/>
      <c r="I394" s="608">
        <v>41740</v>
      </c>
      <c r="J394" s="827">
        <v>54.13</v>
      </c>
      <c r="K394" s="645">
        <f t="shared" si="113"/>
        <v>184799.82</v>
      </c>
      <c r="L394" s="646">
        <f>SUM(K394-G394)</f>
        <v>-7169.3999999999942</v>
      </c>
      <c r="M394" s="647">
        <v>1</v>
      </c>
      <c r="N394" s="576">
        <f t="shared" si="114"/>
        <v>-7169.3999999999942</v>
      </c>
      <c r="O394" s="648" t="s">
        <v>3</v>
      </c>
      <c r="P394" s="322"/>
    </row>
    <row r="395" spans="1:16" s="115" customFormat="1" ht="15" customHeight="1">
      <c r="A395" s="642" t="s">
        <v>1544</v>
      </c>
      <c r="B395" s="554" t="s">
        <v>1543</v>
      </c>
      <c r="C395" s="392" t="s">
        <v>53</v>
      </c>
      <c r="D395" s="569">
        <v>41639</v>
      </c>
      <c r="E395" s="570">
        <v>1030</v>
      </c>
      <c r="F395" s="661">
        <v>167.67</v>
      </c>
      <c r="G395" s="644">
        <f t="shared" si="112"/>
        <v>172700.09999999998</v>
      </c>
      <c r="H395" s="573"/>
      <c r="I395" s="608">
        <v>41740</v>
      </c>
      <c r="J395" s="827">
        <v>182.3</v>
      </c>
      <c r="K395" s="645">
        <f t="shared" si="113"/>
        <v>187769</v>
      </c>
      <c r="L395" s="646">
        <f>SUM(K395-G395)</f>
        <v>15068.900000000023</v>
      </c>
      <c r="M395" s="647">
        <v>1</v>
      </c>
      <c r="N395" s="576">
        <f t="shared" si="114"/>
        <v>15068.900000000023</v>
      </c>
      <c r="O395" s="648" t="s">
        <v>3</v>
      </c>
      <c r="P395" s="322"/>
    </row>
    <row r="396" spans="1:16" s="115" customFormat="1" ht="15" customHeight="1">
      <c r="A396" s="484" t="s">
        <v>1347</v>
      </c>
      <c r="B396" s="605" t="s">
        <v>1359</v>
      </c>
      <c r="C396" s="457" t="s">
        <v>78</v>
      </c>
      <c r="D396" s="458">
        <v>41740</v>
      </c>
      <c r="E396" s="459">
        <v>2763</v>
      </c>
      <c r="F396" s="821">
        <v>52.93</v>
      </c>
      <c r="G396" s="650">
        <f t="shared" si="112"/>
        <v>146245.59</v>
      </c>
      <c r="H396" s="462"/>
      <c r="I396" s="534">
        <v>41751</v>
      </c>
      <c r="J396" s="828">
        <v>55.51</v>
      </c>
      <c r="K396" s="651">
        <f t="shared" si="113"/>
        <v>153374.13</v>
      </c>
      <c r="L396" s="652">
        <f>SUM(G396-K396)</f>
        <v>-7128.5400000000081</v>
      </c>
      <c r="M396" s="653">
        <v>1</v>
      </c>
      <c r="N396" s="465">
        <f t="shared" si="114"/>
        <v>-7128.5400000000081</v>
      </c>
      <c r="O396" s="654"/>
      <c r="P396" s="117"/>
    </row>
    <row r="397" spans="1:16" s="115" customFormat="1" ht="15" customHeight="1">
      <c r="A397" s="484" t="s">
        <v>1661</v>
      </c>
      <c r="B397" s="605" t="s">
        <v>1662</v>
      </c>
      <c r="C397" s="457" t="s">
        <v>78</v>
      </c>
      <c r="D397" s="458">
        <v>41740</v>
      </c>
      <c r="E397" s="459">
        <v>1605</v>
      </c>
      <c r="F397" s="821">
        <v>45.33</v>
      </c>
      <c r="G397" s="650">
        <f t="shared" si="112"/>
        <v>72754.649999999994</v>
      </c>
      <c r="H397" s="462"/>
      <c r="I397" s="534">
        <v>41753</v>
      </c>
      <c r="J397" s="828">
        <v>47.75</v>
      </c>
      <c r="K397" s="651">
        <f t="shared" si="113"/>
        <v>76638.75</v>
      </c>
      <c r="L397" s="652">
        <f>SUM(G397-K397)</f>
        <v>-3884.1000000000058</v>
      </c>
      <c r="M397" s="653">
        <v>1</v>
      </c>
      <c r="N397" s="465">
        <f t="shared" si="114"/>
        <v>-3884.1000000000058</v>
      </c>
      <c r="O397" s="654"/>
      <c r="P397" s="117"/>
    </row>
    <row r="398" spans="1:16" s="115" customFormat="1" ht="15" customHeight="1">
      <c r="A398" s="642" t="s">
        <v>1677</v>
      </c>
      <c r="B398" s="554" t="s">
        <v>1678</v>
      </c>
      <c r="C398" s="888" t="s">
        <v>53</v>
      </c>
      <c r="D398" s="569">
        <v>41751</v>
      </c>
      <c r="E398" s="570">
        <v>3183</v>
      </c>
      <c r="F398" s="661">
        <v>61.15</v>
      </c>
      <c r="G398" s="644">
        <f t="shared" si="112"/>
        <v>194640.44999999998</v>
      </c>
      <c r="H398" s="573"/>
      <c r="I398" s="608">
        <v>41753</v>
      </c>
      <c r="J398" s="827">
        <v>59.07</v>
      </c>
      <c r="K398" s="645">
        <f t="shared" si="113"/>
        <v>188019.81</v>
      </c>
      <c r="L398" s="646">
        <f t="shared" ref="L398:L403" si="115">SUM(K398-G398)</f>
        <v>-6620.6399999999849</v>
      </c>
      <c r="M398" s="647">
        <v>1</v>
      </c>
      <c r="N398" s="576">
        <f t="shared" si="114"/>
        <v>-6620.6399999999849</v>
      </c>
      <c r="O398" s="648" t="s">
        <v>3</v>
      </c>
      <c r="P398" s="322"/>
    </row>
    <row r="399" spans="1:16" s="115" customFormat="1" ht="15" customHeight="1">
      <c r="A399" s="642" t="s">
        <v>1667</v>
      </c>
      <c r="B399" s="554" t="s">
        <v>838</v>
      </c>
      <c r="C399" s="392" t="s">
        <v>53</v>
      </c>
      <c r="D399" s="569">
        <v>41745</v>
      </c>
      <c r="E399" s="570">
        <v>3837</v>
      </c>
      <c r="F399" s="661">
        <v>44.82</v>
      </c>
      <c r="G399" s="644">
        <f t="shared" ref="G399:G405" si="116">SUM(E399*F399)</f>
        <v>171974.34</v>
      </c>
      <c r="H399" s="573"/>
      <c r="I399" s="608">
        <v>41759</v>
      </c>
      <c r="J399" s="827">
        <v>43.16</v>
      </c>
      <c r="K399" s="645">
        <f t="shared" ref="K399:K405" si="117">SUM(E399*J399)</f>
        <v>165604.91999999998</v>
      </c>
      <c r="L399" s="646">
        <f t="shared" si="115"/>
        <v>-6369.4200000000128</v>
      </c>
      <c r="M399" s="647">
        <v>1</v>
      </c>
      <c r="N399" s="576">
        <f t="shared" ref="N399:N405" si="118">SUM(L399*M399)</f>
        <v>-6369.4200000000128</v>
      </c>
      <c r="O399" s="648" t="s">
        <v>3</v>
      </c>
      <c r="P399" s="322"/>
    </row>
    <row r="400" spans="1:16" s="115" customFormat="1" ht="15" customHeight="1">
      <c r="A400" s="642" t="s">
        <v>1616</v>
      </c>
      <c r="B400" s="554" t="s">
        <v>1111</v>
      </c>
      <c r="C400" s="392" t="s">
        <v>53</v>
      </c>
      <c r="D400" s="569">
        <v>41717</v>
      </c>
      <c r="E400" s="570">
        <v>3194</v>
      </c>
      <c r="F400" s="661">
        <v>50.37</v>
      </c>
      <c r="G400" s="644">
        <f t="shared" si="116"/>
        <v>160881.78</v>
      </c>
      <c r="H400" s="573"/>
      <c r="I400" s="608">
        <v>41759</v>
      </c>
      <c r="J400" s="827">
        <v>48.11</v>
      </c>
      <c r="K400" s="645">
        <f t="shared" si="117"/>
        <v>153663.34</v>
      </c>
      <c r="L400" s="646">
        <f t="shared" si="115"/>
        <v>-7218.4400000000023</v>
      </c>
      <c r="M400" s="647">
        <v>1</v>
      </c>
      <c r="N400" s="576">
        <f t="shared" si="118"/>
        <v>-7218.4400000000023</v>
      </c>
      <c r="O400" s="648" t="s">
        <v>3</v>
      </c>
      <c r="P400" s="322"/>
    </row>
    <row r="401" spans="1:16" s="115" customFormat="1" ht="15" customHeight="1">
      <c r="A401" s="642" t="s">
        <v>640</v>
      </c>
      <c r="B401" s="554" t="s">
        <v>641</v>
      </c>
      <c r="C401" s="392" t="s">
        <v>53</v>
      </c>
      <c r="D401" s="569">
        <v>41757</v>
      </c>
      <c r="E401" s="570">
        <v>2742</v>
      </c>
      <c r="F401" s="661">
        <v>91.66</v>
      </c>
      <c r="G401" s="644">
        <f t="shared" si="116"/>
        <v>251331.72</v>
      </c>
      <c r="H401" s="573"/>
      <c r="I401" s="608">
        <v>41760</v>
      </c>
      <c r="J401" s="827">
        <v>89.14</v>
      </c>
      <c r="K401" s="645">
        <f t="shared" si="117"/>
        <v>244421.88</v>
      </c>
      <c r="L401" s="646">
        <f t="shared" si="115"/>
        <v>-6909.8399999999965</v>
      </c>
      <c r="M401" s="647">
        <v>1</v>
      </c>
      <c r="N401" s="576">
        <f t="shared" si="118"/>
        <v>-6909.8399999999965</v>
      </c>
      <c r="O401" s="648" t="s">
        <v>3</v>
      </c>
      <c r="P401" s="322"/>
    </row>
    <row r="402" spans="1:16" s="115" customFormat="1" ht="15" customHeight="1">
      <c r="A402" s="642" t="s">
        <v>1690</v>
      </c>
      <c r="B402" s="554" t="s">
        <v>1689</v>
      </c>
      <c r="C402" s="392" t="s">
        <v>53</v>
      </c>
      <c r="D402" s="569">
        <v>41757</v>
      </c>
      <c r="E402" s="570">
        <v>1366</v>
      </c>
      <c r="F402" s="661">
        <v>174.64</v>
      </c>
      <c r="G402" s="644">
        <f t="shared" si="116"/>
        <v>238558.24</v>
      </c>
      <c r="H402" s="573"/>
      <c r="I402" s="608">
        <v>41761</v>
      </c>
      <c r="J402" s="827">
        <v>169.49</v>
      </c>
      <c r="K402" s="645">
        <f t="shared" si="117"/>
        <v>231523.34000000003</v>
      </c>
      <c r="L402" s="646">
        <f t="shared" si="115"/>
        <v>-7034.8999999999651</v>
      </c>
      <c r="M402" s="647">
        <v>1</v>
      </c>
      <c r="N402" s="576">
        <f t="shared" si="118"/>
        <v>-7034.8999999999651</v>
      </c>
      <c r="O402" s="648" t="s">
        <v>3</v>
      </c>
      <c r="P402" s="322"/>
    </row>
    <row r="403" spans="1:16" s="115" customFormat="1" ht="15" customHeight="1">
      <c r="A403" s="642" t="s">
        <v>1015</v>
      </c>
      <c r="B403" s="554" t="s">
        <v>1016</v>
      </c>
      <c r="C403" s="392" t="s">
        <v>53</v>
      </c>
      <c r="D403" s="569">
        <v>41759</v>
      </c>
      <c r="E403" s="570">
        <v>3004</v>
      </c>
      <c r="F403" s="661">
        <v>73.37</v>
      </c>
      <c r="G403" s="644">
        <f t="shared" si="116"/>
        <v>220403.48</v>
      </c>
      <c r="H403" s="573"/>
      <c r="I403" s="608">
        <v>41761</v>
      </c>
      <c r="J403" s="827">
        <v>71.069999999999993</v>
      </c>
      <c r="K403" s="645">
        <f t="shared" si="117"/>
        <v>213494.27999999997</v>
      </c>
      <c r="L403" s="646">
        <f t="shared" si="115"/>
        <v>-6909.2000000000407</v>
      </c>
      <c r="M403" s="647">
        <v>1</v>
      </c>
      <c r="N403" s="576">
        <f t="shared" si="118"/>
        <v>-6909.2000000000407</v>
      </c>
      <c r="O403" s="648" t="s">
        <v>3</v>
      </c>
      <c r="P403" s="322"/>
    </row>
    <row r="404" spans="1:16" s="115" customFormat="1" ht="15" customHeight="1">
      <c r="A404" s="642" t="s">
        <v>556</v>
      </c>
      <c r="B404" s="554" t="s">
        <v>557</v>
      </c>
      <c r="C404" s="392" t="s">
        <v>53</v>
      </c>
      <c r="D404" s="569">
        <v>41751</v>
      </c>
      <c r="E404" s="570">
        <v>2136</v>
      </c>
      <c r="F404" s="661">
        <v>78.91</v>
      </c>
      <c r="G404" s="644">
        <f t="shared" si="116"/>
        <v>168551.75999999998</v>
      </c>
      <c r="H404" s="573"/>
      <c r="I404" s="608">
        <v>41764</v>
      </c>
      <c r="J404" s="827">
        <v>75.75</v>
      </c>
      <c r="K404" s="645">
        <f t="shared" si="117"/>
        <v>161802</v>
      </c>
      <c r="L404" s="646">
        <f>SUM(K404-G404)</f>
        <v>-6749.7599999999802</v>
      </c>
      <c r="M404" s="647">
        <v>1</v>
      </c>
      <c r="N404" s="576">
        <f t="shared" si="118"/>
        <v>-6749.7599999999802</v>
      </c>
      <c r="O404" s="648" t="s">
        <v>3</v>
      </c>
      <c r="P404" s="322"/>
    </row>
    <row r="405" spans="1:16" s="115" customFormat="1" ht="15" customHeight="1">
      <c r="A405" s="642" t="s">
        <v>1670</v>
      </c>
      <c r="B405" s="554" t="s">
        <v>1290</v>
      </c>
      <c r="C405" s="392" t="s">
        <v>53</v>
      </c>
      <c r="D405" s="569">
        <v>41746</v>
      </c>
      <c r="E405" s="570">
        <v>1887</v>
      </c>
      <c r="F405" s="661">
        <v>127.59</v>
      </c>
      <c r="G405" s="644">
        <f t="shared" si="116"/>
        <v>240762.33000000002</v>
      </c>
      <c r="H405" s="573"/>
      <c r="I405" s="608">
        <v>41765</v>
      </c>
      <c r="J405" s="827">
        <v>125.06</v>
      </c>
      <c r="K405" s="645">
        <f t="shared" si="117"/>
        <v>235988.22</v>
      </c>
      <c r="L405" s="646">
        <f>SUM(K405-G405)</f>
        <v>-4774.1100000000151</v>
      </c>
      <c r="M405" s="647">
        <v>1</v>
      </c>
      <c r="N405" s="576">
        <f t="shared" si="118"/>
        <v>-4774.1100000000151</v>
      </c>
      <c r="O405" s="648" t="s">
        <v>3</v>
      </c>
      <c r="P405" s="322"/>
    </row>
    <row r="406" spans="1:16" s="115" customFormat="1" ht="15" customHeight="1">
      <c r="A406" s="642" t="s">
        <v>505</v>
      </c>
      <c r="B406" s="554" t="s">
        <v>506</v>
      </c>
      <c r="C406" s="392" t="s">
        <v>53</v>
      </c>
      <c r="D406" s="569">
        <v>41743</v>
      </c>
      <c r="E406" s="570">
        <v>7239</v>
      </c>
      <c r="F406" s="661">
        <v>30.85</v>
      </c>
      <c r="G406" s="644">
        <f t="shared" ref="G406:G415" si="119">SUM(E406*F406)</f>
        <v>223323.15000000002</v>
      </c>
      <c r="H406" s="573"/>
      <c r="I406" s="608">
        <v>41771</v>
      </c>
      <c r="J406" s="827">
        <v>30.6</v>
      </c>
      <c r="K406" s="645">
        <f t="shared" ref="K406:K415" si="120">SUM(E406*J406)</f>
        <v>221513.40000000002</v>
      </c>
      <c r="L406" s="646">
        <f>SUM(K406-G406)</f>
        <v>-1809.75</v>
      </c>
      <c r="M406" s="647">
        <v>1</v>
      </c>
      <c r="N406" s="576">
        <f t="shared" ref="N406:N415" si="121">SUM(L406*M406)</f>
        <v>-1809.75</v>
      </c>
      <c r="O406" s="648" t="s">
        <v>3</v>
      </c>
      <c r="P406" s="322"/>
    </row>
    <row r="407" spans="1:16" s="115" customFormat="1" ht="15" customHeight="1">
      <c r="A407" s="484" t="s">
        <v>1401</v>
      </c>
      <c r="B407" s="605" t="s">
        <v>1402</v>
      </c>
      <c r="C407" s="457" t="s">
        <v>78</v>
      </c>
      <c r="D407" s="458">
        <v>41764</v>
      </c>
      <c r="E407" s="459">
        <v>5039</v>
      </c>
      <c r="F407" s="821">
        <v>28.45</v>
      </c>
      <c r="G407" s="650">
        <f t="shared" si="119"/>
        <v>143359.54999999999</v>
      </c>
      <c r="H407" s="462"/>
      <c r="I407" s="534">
        <v>41771</v>
      </c>
      <c r="J407" s="828">
        <v>29.75</v>
      </c>
      <c r="K407" s="651">
        <f t="shared" si="120"/>
        <v>149910.25</v>
      </c>
      <c r="L407" s="652">
        <f>SUM(G407-K407)</f>
        <v>-6550.7000000000116</v>
      </c>
      <c r="M407" s="653">
        <v>1</v>
      </c>
      <c r="N407" s="465">
        <f t="shared" si="121"/>
        <v>-6550.7000000000116</v>
      </c>
      <c r="O407" s="654"/>
      <c r="P407" s="117"/>
    </row>
    <row r="408" spans="1:16" s="115" customFormat="1" ht="15" customHeight="1">
      <c r="A408" s="642" t="s">
        <v>588</v>
      </c>
      <c r="B408" s="554" t="s">
        <v>589</v>
      </c>
      <c r="C408" s="392" t="s">
        <v>53</v>
      </c>
      <c r="D408" s="569">
        <v>41729</v>
      </c>
      <c r="E408" s="570">
        <v>7458</v>
      </c>
      <c r="F408" s="661">
        <v>29.3</v>
      </c>
      <c r="G408" s="644">
        <f t="shared" si="119"/>
        <v>218519.4</v>
      </c>
      <c r="H408" s="573"/>
      <c r="I408" s="608">
        <v>41771</v>
      </c>
      <c r="J408" s="827">
        <v>29.02</v>
      </c>
      <c r="K408" s="645">
        <f t="shared" si="120"/>
        <v>216431.16</v>
      </c>
      <c r="L408" s="646">
        <f t="shared" ref="L408:L415" si="122">SUM(K408-G408)</f>
        <v>-2088.2399999999907</v>
      </c>
      <c r="M408" s="647">
        <v>1</v>
      </c>
      <c r="N408" s="576">
        <f t="shared" si="121"/>
        <v>-2088.2399999999907</v>
      </c>
      <c r="O408" s="648" t="s">
        <v>3</v>
      </c>
      <c r="P408" s="322"/>
    </row>
    <row r="409" spans="1:16" s="117" customFormat="1" ht="15" customHeight="1">
      <c r="A409" s="642" t="s">
        <v>1532</v>
      </c>
      <c r="B409" s="554" t="s">
        <v>1533</v>
      </c>
      <c r="C409" s="392" t="s">
        <v>53</v>
      </c>
      <c r="D409" s="569">
        <v>41767</v>
      </c>
      <c r="E409" s="570">
        <v>3291</v>
      </c>
      <c r="F409" s="661">
        <v>42.45</v>
      </c>
      <c r="G409" s="644">
        <f t="shared" si="119"/>
        <v>139702.95000000001</v>
      </c>
      <c r="H409" s="573"/>
      <c r="I409" s="608">
        <v>41774</v>
      </c>
      <c r="J409" s="827">
        <v>40.49</v>
      </c>
      <c r="K409" s="645">
        <f t="shared" si="120"/>
        <v>133252.59</v>
      </c>
      <c r="L409" s="646">
        <f t="shared" si="122"/>
        <v>-6450.3600000000151</v>
      </c>
      <c r="M409" s="647">
        <v>1</v>
      </c>
      <c r="N409" s="576">
        <f t="shared" si="121"/>
        <v>-6450.3600000000151</v>
      </c>
      <c r="O409" s="648" t="s">
        <v>3</v>
      </c>
      <c r="P409" s="322"/>
    </row>
    <row r="410" spans="1:16" s="115" customFormat="1" ht="15" customHeight="1">
      <c r="A410" s="642" t="s">
        <v>1352</v>
      </c>
      <c r="B410" s="554" t="s">
        <v>1355</v>
      </c>
      <c r="C410" s="392" t="s">
        <v>53</v>
      </c>
      <c r="D410" s="569">
        <v>41730</v>
      </c>
      <c r="E410" s="570">
        <v>558</v>
      </c>
      <c r="F410" s="661">
        <v>153.32</v>
      </c>
      <c r="G410" s="644">
        <f t="shared" si="119"/>
        <v>85552.56</v>
      </c>
      <c r="H410" s="573"/>
      <c r="I410" s="608">
        <v>41775</v>
      </c>
      <c r="J410" s="827">
        <v>145.97999999999999</v>
      </c>
      <c r="K410" s="645">
        <f t="shared" si="120"/>
        <v>81456.84</v>
      </c>
      <c r="L410" s="646">
        <f t="shared" si="122"/>
        <v>-4095.7200000000012</v>
      </c>
      <c r="M410" s="647">
        <v>1</v>
      </c>
      <c r="N410" s="576">
        <f t="shared" si="121"/>
        <v>-4095.7200000000012</v>
      </c>
      <c r="O410" s="648" t="s">
        <v>3</v>
      </c>
      <c r="P410" s="322"/>
    </row>
    <row r="411" spans="1:16" s="115" customFormat="1" ht="15" customHeight="1">
      <c r="A411" s="642" t="s">
        <v>1654</v>
      </c>
      <c r="B411" s="554" t="s">
        <v>1655</v>
      </c>
      <c r="C411" s="392" t="s">
        <v>53</v>
      </c>
      <c r="D411" s="569">
        <v>41739</v>
      </c>
      <c r="E411" s="570">
        <v>4456</v>
      </c>
      <c r="F411" s="661">
        <v>51.69</v>
      </c>
      <c r="G411" s="644">
        <f t="shared" si="119"/>
        <v>230330.63999999998</v>
      </c>
      <c r="H411" s="573"/>
      <c r="I411" s="608">
        <v>41778</v>
      </c>
      <c r="J411" s="827">
        <v>51.41</v>
      </c>
      <c r="K411" s="645">
        <f t="shared" si="120"/>
        <v>229082.96</v>
      </c>
      <c r="L411" s="646">
        <f t="shared" si="122"/>
        <v>-1247.679999999993</v>
      </c>
      <c r="M411" s="647">
        <v>1</v>
      </c>
      <c r="N411" s="576">
        <f t="shared" si="121"/>
        <v>-1247.679999999993</v>
      </c>
      <c r="O411" s="648" t="s">
        <v>3</v>
      </c>
      <c r="P411" s="322"/>
    </row>
    <row r="412" spans="1:16" s="115" customFormat="1" ht="15" customHeight="1">
      <c r="A412" s="642" t="s">
        <v>1629</v>
      </c>
      <c r="B412" s="554" t="s">
        <v>1630</v>
      </c>
      <c r="C412" s="392" t="s">
        <v>53</v>
      </c>
      <c r="D412" s="569">
        <v>41729</v>
      </c>
      <c r="E412" s="570">
        <v>2313</v>
      </c>
      <c r="F412" s="661">
        <v>99.84</v>
      </c>
      <c r="G412" s="644">
        <f t="shared" si="119"/>
        <v>230929.92000000001</v>
      </c>
      <c r="H412" s="573"/>
      <c r="I412" s="608">
        <v>41779</v>
      </c>
      <c r="J412" s="827">
        <v>101.74</v>
      </c>
      <c r="K412" s="645">
        <f t="shared" si="120"/>
        <v>235324.62</v>
      </c>
      <c r="L412" s="646">
        <f t="shared" si="122"/>
        <v>4394.6999999999825</v>
      </c>
      <c r="M412" s="647">
        <v>1</v>
      </c>
      <c r="N412" s="576">
        <f t="shared" si="121"/>
        <v>4394.6999999999825</v>
      </c>
      <c r="O412" s="648" t="s">
        <v>3</v>
      </c>
      <c r="P412" s="322"/>
    </row>
    <row r="413" spans="1:16" s="115" customFormat="1" ht="15" customHeight="1">
      <c r="A413" s="642" t="s">
        <v>1656</v>
      </c>
      <c r="B413" s="554" t="s">
        <v>559</v>
      </c>
      <c r="C413" s="392" t="s">
        <v>53</v>
      </c>
      <c r="D413" s="569">
        <v>41739</v>
      </c>
      <c r="E413" s="570">
        <v>4456</v>
      </c>
      <c r="F413" s="661">
        <v>45.4</v>
      </c>
      <c r="G413" s="644">
        <f t="shared" si="119"/>
        <v>202302.4</v>
      </c>
      <c r="H413" s="573"/>
      <c r="I413" s="608">
        <v>41778</v>
      </c>
      <c r="J413" s="827">
        <v>43.82</v>
      </c>
      <c r="K413" s="645">
        <f t="shared" si="120"/>
        <v>195261.92</v>
      </c>
      <c r="L413" s="646">
        <f t="shared" si="122"/>
        <v>-7040.4799999999814</v>
      </c>
      <c r="M413" s="647">
        <v>1</v>
      </c>
      <c r="N413" s="576">
        <f t="shared" si="121"/>
        <v>-7040.4799999999814</v>
      </c>
      <c r="O413" s="648" t="s">
        <v>3</v>
      </c>
      <c r="P413" s="322"/>
    </row>
    <row r="414" spans="1:16" s="115" customFormat="1" ht="15" customHeight="1">
      <c r="A414" s="642" t="s">
        <v>602</v>
      </c>
      <c r="B414" s="554" t="s">
        <v>603</v>
      </c>
      <c r="C414" s="392" t="s">
        <v>53</v>
      </c>
      <c r="D414" s="569">
        <v>41730</v>
      </c>
      <c r="E414" s="570">
        <v>3200</v>
      </c>
      <c r="F414" s="661">
        <v>74.44</v>
      </c>
      <c r="G414" s="644">
        <f t="shared" si="119"/>
        <v>238208</v>
      </c>
      <c r="H414" s="573"/>
      <c r="I414" s="608">
        <v>41778</v>
      </c>
      <c r="J414" s="827">
        <v>75.260000000000005</v>
      </c>
      <c r="K414" s="645">
        <f t="shared" si="120"/>
        <v>240832.00000000003</v>
      </c>
      <c r="L414" s="646">
        <f t="shared" si="122"/>
        <v>2624.0000000000291</v>
      </c>
      <c r="M414" s="647">
        <v>1</v>
      </c>
      <c r="N414" s="576">
        <f t="shared" si="121"/>
        <v>2624.0000000000291</v>
      </c>
      <c r="O414" s="648" t="s">
        <v>3</v>
      </c>
      <c r="P414" s="322"/>
    </row>
    <row r="415" spans="1:16" s="115" customFormat="1" ht="15" customHeight="1">
      <c r="A415" s="642" t="s">
        <v>511</v>
      </c>
      <c r="B415" s="554" t="s">
        <v>512</v>
      </c>
      <c r="C415" s="392" t="s">
        <v>53</v>
      </c>
      <c r="D415" s="569">
        <v>41744</v>
      </c>
      <c r="E415" s="570">
        <v>4542</v>
      </c>
      <c r="F415" s="661">
        <v>46</v>
      </c>
      <c r="G415" s="644">
        <f t="shared" si="119"/>
        <v>208932</v>
      </c>
      <c r="H415" s="573"/>
      <c r="I415" s="608">
        <v>41779</v>
      </c>
      <c r="J415" s="827">
        <v>44.98</v>
      </c>
      <c r="K415" s="645">
        <f t="shared" si="120"/>
        <v>204299.15999999997</v>
      </c>
      <c r="L415" s="646">
        <f t="shared" si="122"/>
        <v>-4632.8400000000256</v>
      </c>
      <c r="M415" s="647">
        <v>1</v>
      </c>
      <c r="N415" s="576">
        <f t="shared" si="121"/>
        <v>-4632.8400000000256</v>
      </c>
      <c r="O415" s="648" t="s">
        <v>3</v>
      </c>
      <c r="P415" s="322"/>
    </row>
    <row r="416" spans="1:16" s="115" customFormat="1" ht="15" customHeight="1">
      <c r="A416" s="484" t="s">
        <v>1614</v>
      </c>
      <c r="B416" s="605" t="s">
        <v>1615</v>
      </c>
      <c r="C416" s="457" t="s">
        <v>78</v>
      </c>
      <c r="D416" s="458">
        <v>41712</v>
      </c>
      <c r="E416" s="459">
        <v>985</v>
      </c>
      <c r="F416" s="821">
        <v>58.37</v>
      </c>
      <c r="G416" s="650">
        <f t="shared" ref="G416:G423" si="123">SUM(E416*F416)</f>
        <v>57494.45</v>
      </c>
      <c r="H416" s="462"/>
      <c r="I416" s="534">
        <v>41786</v>
      </c>
      <c r="J416" s="828">
        <v>54.25</v>
      </c>
      <c r="K416" s="651">
        <f t="shared" ref="K416:K423" si="124">SUM(E416*J416)</f>
        <v>53436.25</v>
      </c>
      <c r="L416" s="652">
        <f>SUM(G416-K416)</f>
        <v>4058.1999999999971</v>
      </c>
      <c r="M416" s="653">
        <v>1</v>
      </c>
      <c r="N416" s="465">
        <f t="shared" ref="N416:N423" si="125">SUM(L416*M416)</f>
        <v>4058.1999999999971</v>
      </c>
      <c r="O416" s="654"/>
      <c r="P416" s="117"/>
    </row>
    <row r="417" spans="1:16" s="115" customFormat="1" ht="15" customHeight="1">
      <c r="A417" s="484" t="s">
        <v>1697</v>
      </c>
      <c r="B417" s="605" t="s">
        <v>1698</v>
      </c>
      <c r="C417" s="457" t="s">
        <v>78</v>
      </c>
      <c r="D417" s="458">
        <v>41765</v>
      </c>
      <c r="E417" s="459">
        <v>2780</v>
      </c>
      <c r="F417" s="821">
        <v>53.5</v>
      </c>
      <c r="G417" s="650">
        <f t="shared" si="123"/>
        <v>148730</v>
      </c>
      <c r="H417" s="462"/>
      <c r="I417" s="534">
        <v>41787</v>
      </c>
      <c r="J417" s="828">
        <v>55.55</v>
      </c>
      <c r="K417" s="651">
        <f t="shared" si="124"/>
        <v>154429</v>
      </c>
      <c r="L417" s="652">
        <f>SUM(G417-K417)</f>
        <v>-5699</v>
      </c>
      <c r="M417" s="653">
        <v>1</v>
      </c>
      <c r="N417" s="465">
        <f t="shared" si="125"/>
        <v>-5699</v>
      </c>
      <c r="O417" s="654"/>
      <c r="P417" s="117"/>
    </row>
    <row r="418" spans="1:16" s="115" customFormat="1" ht="15" customHeight="1">
      <c r="A418" s="642" t="s">
        <v>1646</v>
      </c>
      <c r="B418" s="554" t="s">
        <v>1647</v>
      </c>
      <c r="C418" s="392" t="s">
        <v>53</v>
      </c>
      <c r="D418" s="569">
        <v>41736</v>
      </c>
      <c r="E418" s="570">
        <v>1365</v>
      </c>
      <c r="F418" s="661">
        <v>167.44</v>
      </c>
      <c r="G418" s="644">
        <f t="shared" si="123"/>
        <v>228555.6</v>
      </c>
      <c r="H418" s="573"/>
      <c r="I418" s="608">
        <v>41788</v>
      </c>
      <c r="J418" s="827">
        <v>165.78</v>
      </c>
      <c r="K418" s="645">
        <f t="shared" si="124"/>
        <v>226289.7</v>
      </c>
      <c r="L418" s="646">
        <f t="shared" ref="L418:L423" si="126">SUM(K418-G418)</f>
        <v>-2265.8999999999942</v>
      </c>
      <c r="M418" s="647">
        <v>1</v>
      </c>
      <c r="N418" s="576">
        <f t="shared" si="125"/>
        <v>-2265.8999999999942</v>
      </c>
      <c r="O418" s="648" t="s">
        <v>3</v>
      </c>
      <c r="P418" s="322"/>
    </row>
    <row r="419" spans="1:16" s="115" customFormat="1" ht="15" customHeight="1">
      <c r="A419" s="642" t="s">
        <v>1673</v>
      </c>
      <c r="B419" s="554" t="s">
        <v>1676</v>
      </c>
      <c r="C419" s="392" t="s">
        <v>53</v>
      </c>
      <c r="D419" s="569">
        <v>41750</v>
      </c>
      <c r="E419" s="570">
        <v>2667</v>
      </c>
      <c r="F419" s="661">
        <v>117.75</v>
      </c>
      <c r="G419" s="644">
        <f t="shared" si="123"/>
        <v>314039.25</v>
      </c>
      <c r="H419" s="573"/>
      <c r="I419" s="608">
        <v>41802</v>
      </c>
      <c r="J419" s="827">
        <v>119.99</v>
      </c>
      <c r="K419" s="645">
        <f t="shared" si="124"/>
        <v>320013.32999999996</v>
      </c>
      <c r="L419" s="646">
        <f t="shared" si="126"/>
        <v>5974.0799999999581</v>
      </c>
      <c r="M419" s="647">
        <v>1</v>
      </c>
      <c r="N419" s="576">
        <f t="shared" si="125"/>
        <v>5974.0799999999581</v>
      </c>
      <c r="O419" s="648" t="s">
        <v>3</v>
      </c>
      <c r="P419" s="322"/>
    </row>
    <row r="420" spans="1:16" s="115" customFormat="1" ht="15" customHeight="1">
      <c r="A420" s="642" t="s">
        <v>1743</v>
      </c>
      <c r="B420" s="554" t="s">
        <v>1744</v>
      </c>
      <c r="C420" s="392" t="s">
        <v>53</v>
      </c>
      <c r="D420" s="569">
        <v>41795</v>
      </c>
      <c r="E420" s="570">
        <v>2985</v>
      </c>
      <c r="F420" s="661">
        <v>67.16</v>
      </c>
      <c r="G420" s="644">
        <f t="shared" si="123"/>
        <v>200472.59999999998</v>
      </c>
      <c r="H420" s="573"/>
      <c r="I420" s="608">
        <v>41802</v>
      </c>
      <c r="J420" s="827">
        <v>65.08</v>
      </c>
      <c r="K420" s="645">
        <f t="shared" si="124"/>
        <v>194263.8</v>
      </c>
      <c r="L420" s="646">
        <f t="shared" si="126"/>
        <v>-6208.7999999999884</v>
      </c>
      <c r="M420" s="647">
        <v>1</v>
      </c>
      <c r="N420" s="576">
        <f t="shared" si="125"/>
        <v>-6208.7999999999884</v>
      </c>
      <c r="O420" s="648" t="s">
        <v>3</v>
      </c>
      <c r="P420" s="322"/>
    </row>
    <row r="421" spans="1:16" s="117" customFormat="1" ht="15" customHeight="1">
      <c r="A421" s="642" t="s">
        <v>1693</v>
      </c>
      <c r="B421" s="554" t="s">
        <v>1694</v>
      </c>
      <c r="C421" s="392" t="s">
        <v>53</v>
      </c>
      <c r="D421" s="569">
        <v>41760</v>
      </c>
      <c r="E421" s="570">
        <v>4455</v>
      </c>
      <c r="F421" s="661">
        <v>42.01</v>
      </c>
      <c r="G421" s="644">
        <f t="shared" si="123"/>
        <v>187154.55</v>
      </c>
      <c r="H421" s="573"/>
      <c r="I421" s="608">
        <v>41807</v>
      </c>
      <c r="J421" s="827">
        <v>40.950000000000003</v>
      </c>
      <c r="K421" s="645">
        <f t="shared" si="124"/>
        <v>182432.25</v>
      </c>
      <c r="L421" s="646">
        <f t="shared" si="126"/>
        <v>-4722.2999999999884</v>
      </c>
      <c r="M421" s="647">
        <v>1</v>
      </c>
      <c r="N421" s="576">
        <f t="shared" si="125"/>
        <v>-4722.2999999999884</v>
      </c>
      <c r="O421" s="648" t="s">
        <v>3</v>
      </c>
      <c r="P421" s="322"/>
    </row>
    <row r="422" spans="1:16" s="115" customFormat="1" ht="15" customHeight="1">
      <c r="A422" s="642" t="s">
        <v>1699</v>
      </c>
      <c r="B422" s="554" t="s">
        <v>1700</v>
      </c>
      <c r="C422" s="392" t="s">
        <v>53</v>
      </c>
      <c r="D422" s="569">
        <v>41771</v>
      </c>
      <c r="E422" s="570">
        <v>4992</v>
      </c>
      <c r="F422" s="661">
        <v>67.11</v>
      </c>
      <c r="G422" s="644">
        <f t="shared" si="123"/>
        <v>335013.12</v>
      </c>
      <c r="H422" s="573"/>
      <c r="I422" s="608">
        <v>41807</v>
      </c>
      <c r="J422" s="827">
        <v>66.7</v>
      </c>
      <c r="K422" s="645">
        <f t="shared" si="124"/>
        <v>332966.40000000002</v>
      </c>
      <c r="L422" s="646">
        <f t="shared" si="126"/>
        <v>-2046.7199999999721</v>
      </c>
      <c r="M422" s="647">
        <v>1</v>
      </c>
      <c r="N422" s="576">
        <f t="shared" si="125"/>
        <v>-2046.7199999999721</v>
      </c>
      <c r="O422" s="648" t="s">
        <v>3</v>
      </c>
      <c r="P422" s="322"/>
    </row>
    <row r="423" spans="1:16" s="115" customFormat="1" ht="15" customHeight="1">
      <c r="A423" s="642" t="s">
        <v>1731</v>
      </c>
      <c r="B423" s="554" t="s">
        <v>1732</v>
      </c>
      <c r="C423" s="392" t="s">
        <v>53</v>
      </c>
      <c r="D423" s="569">
        <v>41789</v>
      </c>
      <c r="E423" s="570">
        <v>5632</v>
      </c>
      <c r="F423" s="661">
        <v>31.99</v>
      </c>
      <c r="G423" s="644">
        <f t="shared" si="123"/>
        <v>180167.67999999999</v>
      </c>
      <c r="H423" s="573"/>
      <c r="I423" s="608">
        <v>41808</v>
      </c>
      <c r="J423" s="827">
        <v>31.27</v>
      </c>
      <c r="K423" s="645">
        <f t="shared" si="124"/>
        <v>176112.63999999998</v>
      </c>
      <c r="L423" s="646">
        <f t="shared" si="126"/>
        <v>-4055.0400000000081</v>
      </c>
      <c r="M423" s="647">
        <v>1</v>
      </c>
      <c r="N423" s="576">
        <f t="shared" si="125"/>
        <v>-4055.0400000000081</v>
      </c>
      <c r="O423" s="648" t="s">
        <v>3</v>
      </c>
      <c r="P423" s="322"/>
    </row>
    <row r="424" spans="1:16" s="115" customFormat="1" ht="15" customHeight="1">
      <c r="A424" s="642" t="s">
        <v>1741</v>
      </c>
      <c r="B424" s="554" t="s">
        <v>567</v>
      </c>
      <c r="C424" s="392" t="s">
        <v>53</v>
      </c>
      <c r="D424" s="569">
        <v>41794</v>
      </c>
      <c r="E424" s="570">
        <v>3044</v>
      </c>
      <c r="F424" s="661">
        <v>73.010000000000005</v>
      </c>
      <c r="G424" s="644">
        <f>SUM(E424*F424)</f>
        <v>222242.44</v>
      </c>
      <c r="H424" s="573"/>
      <c r="I424" s="608">
        <v>41814</v>
      </c>
      <c r="J424" s="827">
        <v>70.97</v>
      </c>
      <c r="K424" s="645">
        <f>SUM(E424*J424)</f>
        <v>216032.68</v>
      </c>
      <c r="L424" s="646">
        <f>SUM(K424-G424)</f>
        <v>-6209.7600000000093</v>
      </c>
      <c r="M424" s="647">
        <v>1</v>
      </c>
      <c r="N424" s="576">
        <f>SUM(L424*M424)</f>
        <v>-6209.7600000000093</v>
      </c>
      <c r="O424" s="648" t="s">
        <v>3</v>
      </c>
      <c r="P424" s="322"/>
    </row>
    <row r="425" spans="1:16" s="117" customFormat="1" ht="15" customHeight="1">
      <c r="A425" s="642" t="s">
        <v>1747</v>
      </c>
      <c r="B425" s="554" t="s">
        <v>1525</v>
      </c>
      <c r="C425" s="392" t="s">
        <v>53</v>
      </c>
      <c r="D425" s="569">
        <v>41799</v>
      </c>
      <c r="E425" s="570">
        <v>2202</v>
      </c>
      <c r="F425" s="661">
        <v>98.46</v>
      </c>
      <c r="G425" s="644">
        <f>SUM(E425*F425)</f>
        <v>216808.91999999998</v>
      </c>
      <c r="H425" s="573"/>
      <c r="I425" s="608">
        <v>41816</v>
      </c>
      <c r="J425" s="827">
        <v>95.5</v>
      </c>
      <c r="K425" s="645">
        <f>SUM(E425*J425)</f>
        <v>210291</v>
      </c>
      <c r="L425" s="646">
        <f>SUM(K425-G425)</f>
        <v>-6517.9199999999837</v>
      </c>
      <c r="M425" s="647">
        <v>1</v>
      </c>
      <c r="N425" s="576">
        <f>SUM(L425*M425)</f>
        <v>-6517.9199999999837</v>
      </c>
      <c r="O425" s="648" t="s">
        <v>3</v>
      </c>
      <c r="P425" s="322"/>
    </row>
    <row r="426" spans="1:16" s="115" customFormat="1" ht="15" customHeight="1">
      <c r="A426" s="642" t="s">
        <v>662</v>
      </c>
      <c r="B426" s="554" t="s">
        <v>663</v>
      </c>
      <c r="C426" s="392" t="s">
        <v>53</v>
      </c>
      <c r="D426" s="569">
        <v>41757</v>
      </c>
      <c r="E426" s="570">
        <v>4866</v>
      </c>
      <c r="F426" s="661">
        <v>53.04</v>
      </c>
      <c r="G426" s="644">
        <f>SUM(E426*F426)</f>
        <v>258092.63999999998</v>
      </c>
      <c r="H426" s="573"/>
      <c r="I426" s="608">
        <v>41816</v>
      </c>
      <c r="J426" s="827">
        <v>52.92</v>
      </c>
      <c r="K426" s="645">
        <f>SUM(E426*J426)</f>
        <v>257508.72</v>
      </c>
      <c r="L426" s="646">
        <f>SUM(K426-G426)</f>
        <v>-583.9199999999837</v>
      </c>
      <c r="M426" s="647">
        <v>1</v>
      </c>
      <c r="N426" s="576">
        <f>SUM(L426*M426)</f>
        <v>-583.9199999999837</v>
      </c>
      <c r="O426" s="648" t="s">
        <v>3</v>
      </c>
      <c r="P426" s="322"/>
    </row>
    <row r="427" spans="1:16" s="115" customFormat="1" ht="15" customHeight="1">
      <c r="A427" s="642" t="s">
        <v>1645</v>
      </c>
      <c r="B427" s="554" t="s">
        <v>1550</v>
      </c>
      <c r="C427" s="392" t="s">
        <v>53</v>
      </c>
      <c r="D427" s="569">
        <v>41736</v>
      </c>
      <c r="E427" s="570">
        <v>2602</v>
      </c>
      <c r="F427" s="661">
        <v>83.25</v>
      </c>
      <c r="G427" s="644">
        <f>SUM(E427*F427)</f>
        <v>216616.5</v>
      </c>
      <c r="H427" s="573"/>
      <c r="I427" s="608">
        <v>41816</v>
      </c>
      <c r="J427" s="827">
        <v>87.7</v>
      </c>
      <c r="K427" s="645">
        <f>SUM(E427*J427)</f>
        <v>228195.4</v>
      </c>
      <c r="L427" s="646">
        <f>SUM(K427-G427)</f>
        <v>11578.899999999994</v>
      </c>
      <c r="M427" s="647">
        <v>1</v>
      </c>
      <c r="N427" s="576">
        <f>SUM(L427*M427)</f>
        <v>11578.899999999994</v>
      </c>
      <c r="O427" s="648" t="s">
        <v>3</v>
      </c>
      <c r="P427" s="322"/>
    </row>
    <row r="428" spans="1:16" s="115" customFormat="1" ht="15" customHeight="1">
      <c r="A428" s="642" t="s">
        <v>1620</v>
      </c>
      <c r="B428" s="554" t="s">
        <v>410</v>
      </c>
      <c r="C428" s="392" t="s">
        <v>53</v>
      </c>
      <c r="D428" s="569">
        <v>41749</v>
      </c>
      <c r="E428" s="570">
        <v>4056</v>
      </c>
      <c r="F428" s="661">
        <v>55.73</v>
      </c>
      <c r="G428" s="644">
        <f>SUM(E428*F428)</f>
        <v>226040.87999999998</v>
      </c>
      <c r="H428" s="573"/>
      <c r="I428" s="608">
        <v>41830</v>
      </c>
      <c r="J428" s="827">
        <v>58.07</v>
      </c>
      <c r="K428" s="645">
        <f>SUM(E428*J428)</f>
        <v>235531.92</v>
      </c>
      <c r="L428" s="646">
        <f>SUM(K428-G428)</f>
        <v>9491.0400000000373</v>
      </c>
      <c r="M428" s="647">
        <v>1</v>
      </c>
      <c r="N428" s="576">
        <f>SUM(L428*M428)</f>
        <v>9491.0400000000373</v>
      </c>
      <c r="O428" s="648" t="s">
        <v>3</v>
      </c>
      <c r="P428" s="322"/>
    </row>
    <row r="429" spans="1:16" s="115" customFormat="1" ht="15" customHeight="1">
      <c r="A429" s="642" t="s">
        <v>1674</v>
      </c>
      <c r="B429" s="554" t="s">
        <v>1675</v>
      </c>
      <c r="C429" s="392" t="s">
        <v>53</v>
      </c>
      <c r="D429" s="569">
        <v>41750</v>
      </c>
      <c r="E429" s="570">
        <v>3125</v>
      </c>
      <c r="F429" s="661">
        <v>42.09</v>
      </c>
      <c r="G429" s="644">
        <f>SUM(E429*F429)</f>
        <v>131531.25</v>
      </c>
      <c r="H429" s="573"/>
      <c r="I429" s="608">
        <v>41831</v>
      </c>
      <c r="J429" s="827">
        <v>43.29</v>
      </c>
      <c r="K429" s="645">
        <f>SUM(E429*J429)</f>
        <v>135281.25</v>
      </c>
      <c r="L429" s="646">
        <f>SUM(K429-G429)</f>
        <v>3750</v>
      </c>
      <c r="M429" s="647">
        <v>1</v>
      </c>
      <c r="N429" s="576">
        <f>SUM(L429*M429)</f>
        <v>3750</v>
      </c>
      <c r="O429" s="648" t="s">
        <v>3</v>
      </c>
      <c r="P429" s="322"/>
    </row>
    <row r="430" spans="1:16" s="115" customFormat="1" ht="15" customHeight="1">
      <c r="A430" s="642" t="s">
        <v>1751</v>
      </c>
      <c r="B430" s="554" t="s">
        <v>1752</v>
      </c>
      <c r="C430" s="392" t="s">
        <v>53</v>
      </c>
      <c r="D430" s="569">
        <v>41800</v>
      </c>
      <c r="E430" s="570">
        <v>2481</v>
      </c>
      <c r="F430" s="661">
        <v>75.13</v>
      </c>
      <c r="G430" s="644">
        <f>SUM(E430*F430)</f>
        <v>186397.53</v>
      </c>
      <c r="H430" s="573"/>
      <c r="I430" s="608">
        <v>41831</v>
      </c>
      <c r="J430" s="827">
        <v>77.28</v>
      </c>
      <c r="K430" s="645">
        <f>SUM(E430*J430)</f>
        <v>191731.68</v>
      </c>
      <c r="L430" s="646">
        <f>SUM(K430-G430)</f>
        <v>5334.1499999999942</v>
      </c>
      <c r="M430" s="647">
        <v>1</v>
      </c>
      <c r="N430" s="576">
        <f>SUM(L430*M430)</f>
        <v>5334.1499999999942</v>
      </c>
      <c r="O430" s="648" t="s">
        <v>3</v>
      </c>
      <c r="P430" s="322"/>
    </row>
    <row r="431" spans="1:16" s="115" customFormat="1" ht="15" customHeight="1">
      <c r="A431" s="642"/>
      <c r="B431" s="554"/>
      <c r="C431" s="392"/>
      <c r="D431" s="569"/>
      <c r="E431" s="570"/>
      <c r="F431" s="661"/>
      <c r="G431" s="644"/>
      <c r="H431" s="573"/>
      <c r="I431" s="574"/>
      <c r="J431" s="827"/>
      <c r="K431" s="645"/>
      <c r="L431" s="646"/>
      <c r="M431" s="647"/>
      <c r="N431" s="576"/>
      <c r="O431" s="648"/>
      <c r="P431" s="322"/>
    </row>
    <row r="432" spans="1:16" s="115" customFormat="1" ht="15" customHeight="1">
      <c r="A432" s="642"/>
      <c r="B432" s="554"/>
      <c r="C432" s="392"/>
      <c r="D432" s="569"/>
      <c r="E432" s="570"/>
      <c r="F432" s="661"/>
      <c r="G432" s="644"/>
      <c r="H432" s="573"/>
      <c r="I432" s="574"/>
      <c r="J432" s="827"/>
      <c r="K432" s="645"/>
      <c r="L432" s="646"/>
      <c r="M432" s="647"/>
      <c r="N432" s="576"/>
      <c r="O432" s="648"/>
      <c r="P432" s="322"/>
    </row>
    <row r="433" spans="1:16" s="551" customFormat="1" ht="10.5" customHeight="1">
      <c r="A433" s="690"/>
      <c r="B433" s="612"/>
      <c r="C433" s="612"/>
      <c r="D433" s="690"/>
      <c r="E433" s="690"/>
      <c r="F433" s="722"/>
      <c r="G433" s="703"/>
      <c r="H433" s="690"/>
      <c r="I433" s="747"/>
      <c r="J433" s="722"/>
      <c r="K433" s="703"/>
      <c r="L433" s="704"/>
      <c r="M433" s="748"/>
      <c r="N433" s="818"/>
      <c r="O433" s="732"/>
      <c r="P433" s="550"/>
    </row>
    <row r="434" spans="1:16" s="552" customFormat="1" ht="15" customHeight="1">
      <c r="A434" s="696"/>
      <c r="B434" s="613"/>
      <c r="C434" s="613"/>
      <c r="D434" s="707"/>
      <c r="E434" s="696"/>
      <c r="F434" s="708"/>
      <c r="G434" s="711"/>
      <c r="H434" s="749"/>
      <c r="I434" s="750"/>
      <c r="J434" s="708"/>
      <c r="K434" s="711"/>
      <c r="L434" s="713"/>
      <c r="M434" s="712"/>
      <c r="N434" s="819"/>
      <c r="O434" s="751"/>
    </row>
    <row r="435" spans="1:16" s="14" customFormat="1" ht="16.5" thickBot="1">
      <c r="A435" s="752" t="s">
        <v>667</v>
      </c>
      <c r="B435" s="616"/>
      <c r="C435" s="616"/>
      <c r="D435" s="616"/>
      <c r="E435" s="616"/>
      <c r="F435" s="753"/>
      <c r="G435" s="754"/>
      <c r="H435" s="755"/>
      <c r="I435" s="756"/>
      <c r="J435" s="753"/>
      <c r="K435" s="754"/>
      <c r="L435" s="757"/>
      <c r="M435" s="758"/>
      <c r="N435" s="820">
        <f>SUM(N47:N434)</f>
        <v>153164.32100000023</v>
      </c>
    </row>
    <row r="436" spans="1:16" ht="11.25" customHeight="1" thickTop="1">
      <c r="A436" s="484"/>
      <c r="B436" s="456"/>
      <c r="C436" s="456"/>
      <c r="D436" s="468"/>
      <c r="E436" s="484"/>
      <c r="F436" s="675"/>
      <c r="G436" s="651"/>
      <c r="H436" s="468"/>
      <c r="I436" s="485"/>
      <c r="J436" s="675"/>
      <c r="K436" s="651"/>
      <c r="L436" s="652"/>
      <c r="M436" s="677"/>
      <c r="N436" s="474"/>
    </row>
    <row r="438" spans="1:16" ht="11.25" customHeight="1">
      <c r="A438" s="484"/>
      <c r="B438" s="456"/>
      <c r="C438" s="456"/>
      <c r="D438" s="542"/>
      <c r="E438" s="484"/>
      <c r="F438" s="675"/>
      <c r="G438" s="651"/>
      <c r="H438" s="542"/>
      <c r="I438" s="485"/>
      <c r="J438" s="675"/>
      <c r="K438" s="651"/>
      <c r="L438" s="652"/>
      <c r="M438" s="677"/>
      <c r="N438" s="474"/>
    </row>
  </sheetData>
  <sortState ref="A13:P36">
    <sortCondition ref="B13:B36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206"/>
  <sheetViews>
    <sheetView workbookViewId="0">
      <selection activeCell="J15" sqref="J15"/>
    </sheetView>
  </sheetViews>
  <sheetFormatPr defaultColWidth="9.140625" defaultRowHeight="11.25" customHeight="1"/>
  <cols>
    <col min="1" max="1" width="26.28515625" style="3" customWidth="1"/>
    <col min="2" max="2" width="6.85546875" style="14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6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6" customWidth="1"/>
    <col min="12" max="12" width="10.42578125" style="104" customWidth="1"/>
    <col min="13" max="13" width="10.28515625" style="163" customWidth="1"/>
    <col min="14" max="14" width="14.140625" style="281" customWidth="1"/>
    <col min="15" max="15" width="16.42578125" style="1" bestFit="1" customWidth="1"/>
    <col min="16" max="16" width="8.85546875" customWidth="1"/>
    <col min="17" max="16384" width="9.140625" style="1"/>
  </cols>
  <sheetData>
    <row r="2" spans="1:16" ht="18.75">
      <c r="A2" s="33" t="s">
        <v>879</v>
      </c>
      <c r="J2" s="403"/>
      <c r="K2" s="403"/>
      <c r="L2" s="1"/>
      <c r="M2" s="16"/>
      <c r="N2" s="146"/>
      <c r="O2" s="126"/>
      <c r="P2" s="403"/>
    </row>
    <row r="3" spans="1:16" ht="9" customHeight="1">
      <c r="A3" s="33"/>
    </row>
    <row r="4" spans="1:16" s="7" customFormat="1" ht="19.5" thickBot="1">
      <c r="A4" s="34">
        <f>SUM(K6+K22)</f>
        <v>136831.15769970906</v>
      </c>
      <c r="B4" s="11"/>
      <c r="C4" s="3"/>
      <c r="D4" s="6"/>
      <c r="F4" s="125"/>
      <c r="G4" s="191"/>
      <c r="I4" s="24"/>
      <c r="J4" s="370"/>
      <c r="K4" s="191"/>
      <c r="L4" s="105"/>
      <c r="M4" s="273"/>
      <c r="N4" s="282"/>
    </row>
    <row r="5" spans="1:16" s="11" customFormat="1" ht="16.5" thickTop="1">
      <c r="A5" s="7"/>
      <c r="B5" s="14"/>
      <c r="C5" s="3"/>
      <c r="D5" s="25"/>
      <c r="E5" s="3"/>
      <c r="F5" s="53"/>
      <c r="G5" s="128"/>
      <c r="H5" s="15"/>
      <c r="I5" s="4"/>
      <c r="J5" s="52"/>
      <c r="K5" s="126"/>
      <c r="L5" s="104"/>
      <c r="M5" s="164"/>
      <c r="N5" s="281"/>
      <c r="O5" s="59"/>
    </row>
    <row r="6" spans="1:16" s="14" customFormat="1" ht="18.75">
      <c r="A6" s="203"/>
      <c r="B6" s="204"/>
      <c r="C6" s="203"/>
      <c r="D6" s="204"/>
      <c r="E6" s="205" t="s">
        <v>30</v>
      </c>
      <c r="F6" s="212"/>
      <c r="G6" s="208"/>
      <c r="H6" s="204"/>
      <c r="I6" s="207"/>
      <c r="J6" s="213"/>
      <c r="K6" s="226">
        <f>SUM(N17)</f>
        <v>4491.1097400000144</v>
      </c>
      <c r="L6" s="295"/>
      <c r="M6" s="210"/>
      <c r="N6" s="283"/>
      <c r="O6" s="204"/>
    </row>
    <row r="7" spans="1:16" s="2" customFormat="1" ht="15" customHeight="1">
      <c r="B7" s="14" t="s">
        <v>948</v>
      </c>
      <c r="C7" s="2" t="s">
        <v>875</v>
      </c>
      <c r="D7" s="2" t="s">
        <v>17</v>
      </c>
      <c r="E7" s="2" t="s">
        <v>26</v>
      </c>
      <c r="F7" s="63" t="s">
        <v>952</v>
      </c>
      <c r="G7" s="127" t="s">
        <v>675</v>
      </c>
      <c r="I7" s="61" t="s">
        <v>886</v>
      </c>
      <c r="J7" s="360" t="s">
        <v>954</v>
      </c>
      <c r="K7" s="127" t="s">
        <v>674</v>
      </c>
      <c r="L7" s="106" t="s">
        <v>893</v>
      </c>
      <c r="M7" s="165" t="s">
        <v>27</v>
      </c>
      <c r="N7" s="284" t="s">
        <v>15</v>
      </c>
      <c r="O7" s="2" t="s">
        <v>4</v>
      </c>
    </row>
    <row r="8" spans="1:16" s="2" customFormat="1" ht="15" customHeight="1">
      <c r="B8" s="14" t="s">
        <v>0</v>
      </c>
      <c r="D8" s="2" t="s">
        <v>25</v>
      </c>
      <c r="E8" s="2" t="s">
        <v>21</v>
      </c>
      <c r="F8" s="63" t="s">
        <v>953</v>
      </c>
      <c r="G8" s="127" t="s">
        <v>380</v>
      </c>
      <c r="I8" s="61" t="s">
        <v>887</v>
      </c>
      <c r="J8" s="360" t="s">
        <v>953</v>
      </c>
      <c r="K8" s="127" t="s">
        <v>892</v>
      </c>
      <c r="L8" s="106" t="s">
        <v>380</v>
      </c>
      <c r="M8" s="165" t="s">
        <v>1293</v>
      </c>
      <c r="N8" s="284" t="s">
        <v>884</v>
      </c>
      <c r="O8" s="2" t="s">
        <v>24</v>
      </c>
    </row>
    <row r="9" spans="1:16" s="2" customFormat="1" ht="15" customHeight="1">
      <c r="B9" s="14"/>
      <c r="F9" s="63"/>
      <c r="G9" s="127"/>
      <c r="I9" s="277"/>
      <c r="J9" s="360"/>
      <c r="K9" s="127"/>
      <c r="L9" s="106"/>
      <c r="M9" s="165"/>
      <c r="N9" s="284"/>
    </row>
    <row r="10" spans="1:16" s="115" customFormat="1" ht="15" customHeight="1">
      <c r="A10" s="556" t="s">
        <v>1042</v>
      </c>
      <c r="B10" s="555" t="s">
        <v>33</v>
      </c>
      <c r="C10" s="582" t="s">
        <v>53</v>
      </c>
      <c r="D10" s="583">
        <v>36892</v>
      </c>
      <c r="E10" s="584">
        <v>1</v>
      </c>
      <c r="F10" s="823">
        <v>1</v>
      </c>
      <c r="G10" s="561">
        <f>SUM(E10*F10)/100</f>
        <v>0.01</v>
      </c>
      <c r="H10" s="562"/>
      <c r="I10" s="586"/>
      <c r="J10" s="823">
        <v>1</v>
      </c>
      <c r="K10" s="564">
        <f>SUM(E10*J10)/100</f>
        <v>0.01</v>
      </c>
      <c r="L10" s="565">
        <f>SUM(K10-G10)</f>
        <v>0</v>
      </c>
      <c r="M10" s="566">
        <v>1</v>
      </c>
      <c r="N10" s="567">
        <f>SUM(K10-G10)*M10</f>
        <v>0</v>
      </c>
      <c r="O10" s="280"/>
      <c r="P10" s="280"/>
    </row>
    <row r="11" spans="1:16" s="117" customFormat="1" ht="15" customHeight="1">
      <c r="A11" s="587" t="s">
        <v>1043</v>
      </c>
      <c r="B11" s="605" t="s">
        <v>33</v>
      </c>
      <c r="C11" s="588" t="s">
        <v>78</v>
      </c>
      <c r="D11" s="589">
        <v>36893</v>
      </c>
      <c r="E11" s="590">
        <v>1</v>
      </c>
      <c r="F11" s="824">
        <v>1</v>
      </c>
      <c r="G11" s="591">
        <f>SUM(E11*F11)/100</f>
        <v>0.01</v>
      </c>
      <c r="H11" s="592"/>
      <c r="I11" s="586"/>
      <c r="J11" s="824">
        <v>1</v>
      </c>
      <c r="K11" s="593">
        <f>SUM(E11*J11)/100</f>
        <v>0.01</v>
      </c>
      <c r="L11" s="594">
        <f>SUM(G11-K11)</f>
        <v>0</v>
      </c>
      <c r="M11" s="595">
        <v>1</v>
      </c>
      <c r="N11" s="596">
        <f>SUM(G11-K11)*M11</f>
        <v>0</v>
      </c>
      <c r="O11" s="116"/>
      <c r="P11" s="116"/>
    </row>
    <row r="12" spans="1:16" s="117" customFormat="1" ht="15" customHeight="1">
      <c r="A12" s="587"/>
      <c r="B12" s="610"/>
      <c r="C12" s="588"/>
      <c r="D12" s="583"/>
      <c r="E12" s="584"/>
      <c r="F12" s="823"/>
      <c r="G12" s="561"/>
      <c r="H12" s="562"/>
      <c r="I12" s="586"/>
      <c r="J12" s="823"/>
      <c r="K12" s="564"/>
      <c r="L12" s="565"/>
      <c r="M12" s="566"/>
      <c r="N12" s="596"/>
      <c r="O12" s="116"/>
      <c r="P12" s="116"/>
    </row>
    <row r="13" spans="1:16" ht="11.25" customHeight="1">
      <c r="A13" s="597"/>
      <c r="B13" s="48"/>
      <c r="C13" s="597"/>
      <c r="D13" s="598"/>
      <c r="E13" s="598"/>
      <c r="F13" s="825"/>
      <c r="G13" s="600"/>
      <c r="H13" s="598"/>
      <c r="I13" s="601"/>
      <c r="J13" s="825"/>
      <c r="K13" s="600"/>
      <c r="L13" s="602"/>
      <c r="M13" s="603"/>
      <c r="N13" s="604"/>
    </row>
    <row r="14" spans="1:16" s="115" customFormat="1" ht="15" customHeight="1">
      <c r="A14" s="556" t="s">
        <v>1685</v>
      </c>
      <c r="B14" s="555" t="s">
        <v>1686</v>
      </c>
      <c r="C14" s="582" t="s">
        <v>53</v>
      </c>
      <c r="D14" s="583">
        <v>41757</v>
      </c>
      <c r="E14" s="584">
        <v>20630</v>
      </c>
      <c r="F14" s="823">
        <v>519</v>
      </c>
      <c r="G14" s="561">
        <f>SUM(E14*F14)/100</f>
        <v>107069.7</v>
      </c>
      <c r="H14" s="562"/>
      <c r="I14" s="586">
        <v>509.9</v>
      </c>
      <c r="J14" s="823">
        <v>532</v>
      </c>
      <c r="K14" s="564">
        <f>SUM(E14*J14)/100</f>
        <v>109751.6</v>
      </c>
      <c r="L14" s="565">
        <f>SUM(K14-G14)</f>
        <v>2681.9000000000087</v>
      </c>
      <c r="M14" s="566">
        <v>1.6746000000000001</v>
      </c>
      <c r="N14" s="567">
        <f>SUM(K14-G14)*M14</f>
        <v>4491.1097400000144</v>
      </c>
      <c r="O14" s="366"/>
      <c r="P14" s="366"/>
    </row>
    <row r="15" spans="1:16" s="115" customFormat="1" ht="15" customHeight="1">
      <c r="A15" s="597"/>
      <c r="B15" s="48"/>
      <c r="C15" s="597"/>
      <c r="D15" s="598"/>
      <c r="E15" s="598"/>
      <c r="F15" s="599"/>
      <c r="G15" s="600"/>
      <c r="H15" s="598"/>
      <c r="I15" s="601"/>
      <c r="J15" s="599"/>
      <c r="K15" s="600"/>
      <c r="L15" s="602"/>
      <c r="M15" s="603"/>
      <c r="N15" s="604"/>
      <c r="O15" s="366"/>
      <c r="P15" s="366"/>
    </row>
    <row r="16" spans="1:16" s="8" customFormat="1" ht="15" customHeight="1">
      <c r="A16" s="17"/>
      <c r="B16" s="456"/>
      <c r="C16" s="17"/>
      <c r="D16" s="99"/>
      <c r="E16" s="18"/>
      <c r="F16" s="144"/>
      <c r="G16" s="184"/>
      <c r="H16" s="99"/>
      <c r="I16" s="545"/>
      <c r="J16" s="144"/>
      <c r="K16" s="194"/>
      <c r="L16" s="178"/>
      <c r="M16" s="187"/>
      <c r="N16" s="297"/>
      <c r="O16" s="18"/>
      <c r="P16" s="156"/>
    </row>
    <row r="17" spans="1:15" s="14" customFormat="1" ht="16.5" thickBot="1">
      <c r="A17" s="35" t="s">
        <v>32</v>
      </c>
      <c r="B17" s="35"/>
      <c r="C17" s="35"/>
      <c r="D17" s="35"/>
      <c r="E17" s="35"/>
      <c r="F17" s="55"/>
      <c r="G17" s="130"/>
      <c r="H17" s="37"/>
      <c r="I17" s="38"/>
      <c r="J17" s="55"/>
      <c r="K17" s="55"/>
      <c r="L17" s="108"/>
      <c r="M17" s="168"/>
      <c r="N17" s="236">
        <f>SUM(N13:N16)</f>
        <v>4491.1097400000144</v>
      </c>
      <c r="O17" s="37"/>
    </row>
    <row r="18" spans="1:15" s="14" customFormat="1" ht="16.5" thickTop="1">
      <c r="A18" s="48"/>
      <c r="B18" s="48"/>
      <c r="C18" s="48"/>
      <c r="D18" s="48"/>
      <c r="E18" s="48"/>
      <c r="F18" s="56"/>
      <c r="G18" s="131"/>
      <c r="H18" s="50"/>
      <c r="I18" s="51"/>
      <c r="J18" s="56"/>
      <c r="K18" s="131"/>
      <c r="L18" s="109"/>
      <c r="M18" s="169"/>
      <c r="N18" s="289"/>
      <c r="O18" s="50"/>
    </row>
    <row r="19" spans="1:15" ht="11.25" customHeight="1">
      <c r="A19" s="90"/>
      <c r="B19" s="476"/>
      <c r="C19" s="90"/>
      <c r="D19" s="44"/>
      <c r="E19" s="43"/>
      <c r="F19" s="57"/>
      <c r="G19" s="132"/>
      <c r="H19" s="44"/>
      <c r="I19" s="46"/>
      <c r="J19" s="57"/>
      <c r="K19" s="132"/>
      <c r="L19" s="110"/>
      <c r="M19" s="170"/>
      <c r="N19" s="290"/>
      <c r="O19" s="43"/>
    </row>
    <row r="20" spans="1:15" ht="11.25" customHeight="1">
      <c r="A20" s="90"/>
      <c r="B20" s="476"/>
      <c r="C20" s="90"/>
      <c r="D20" s="43"/>
      <c r="E20" s="43"/>
      <c r="F20" s="57"/>
      <c r="G20" s="132"/>
      <c r="H20" s="43"/>
      <c r="I20" s="46"/>
      <c r="J20" s="57"/>
      <c r="K20" s="132"/>
      <c r="L20" s="110"/>
      <c r="M20" s="170"/>
      <c r="N20" s="290"/>
      <c r="O20" s="47"/>
    </row>
    <row r="21" spans="1:15" ht="11.25" customHeight="1">
      <c r="A21" s="27"/>
      <c r="B21" s="456"/>
      <c r="C21" s="27"/>
      <c r="D21" s="10"/>
      <c r="E21" s="10"/>
      <c r="F21" s="54"/>
      <c r="G21" s="129"/>
      <c r="H21" s="10"/>
      <c r="I21" s="26"/>
      <c r="J21" s="54"/>
      <c r="K21" s="129"/>
      <c r="L21" s="107"/>
      <c r="M21" s="167"/>
      <c r="N21" s="287"/>
      <c r="O21" s="21"/>
    </row>
    <row r="22" spans="1:15" s="22" customFormat="1" ht="18.75">
      <c r="A22" s="278"/>
      <c r="B22" s="487"/>
      <c r="C22" s="214"/>
      <c r="D22" s="201"/>
      <c r="E22" s="201" t="s">
        <v>31</v>
      </c>
      <c r="F22" s="215"/>
      <c r="G22" s="216"/>
      <c r="H22" s="201"/>
      <c r="I22" s="202"/>
      <c r="J22" s="372"/>
      <c r="K22" s="235">
        <f>SUM(N205)</f>
        <v>132340.04795970905</v>
      </c>
      <c r="L22" s="296"/>
      <c r="M22" s="234"/>
      <c r="N22" s="291"/>
      <c r="O22" s="201"/>
    </row>
    <row r="23" spans="1:15" s="2" customFormat="1" ht="15" customHeight="1">
      <c r="B23" s="14" t="s">
        <v>948</v>
      </c>
      <c r="C23" s="2" t="s">
        <v>875</v>
      </c>
      <c r="D23" s="2" t="s">
        <v>17</v>
      </c>
      <c r="E23" s="2" t="s">
        <v>26</v>
      </c>
      <c r="F23" s="63" t="s">
        <v>19</v>
      </c>
      <c r="G23" s="127" t="s">
        <v>876</v>
      </c>
      <c r="I23" s="61" t="s">
        <v>29</v>
      </c>
      <c r="J23" s="360" t="s">
        <v>18</v>
      </c>
      <c r="K23" s="127" t="s">
        <v>674</v>
      </c>
      <c r="L23" s="106" t="s">
        <v>893</v>
      </c>
      <c r="M23" s="165" t="s">
        <v>27</v>
      </c>
      <c r="N23" s="284" t="s">
        <v>15</v>
      </c>
      <c r="O23" s="2" t="s">
        <v>4</v>
      </c>
    </row>
    <row r="24" spans="1:15" s="2" customFormat="1" ht="15" customHeight="1">
      <c r="B24" s="14" t="s">
        <v>0</v>
      </c>
      <c r="D24" s="2" t="s">
        <v>25</v>
      </c>
      <c r="E24" s="2" t="s">
        <v>21</v>
      </c>
      <c r="F24" s="63" t="s">
        <v>687</v>
      </c>
      <c r="G24" s="127" t="s">
        <v>380</v>
      </c>
      <c r="I24" s="61" t="s">
        <v>7</v>
      </c>
      <c r="J24" s="360" t="s">
        <v>687</v>
      </c>
      <c r="K24" s="127" t="s">
        <v>892</v>
      </c>
      <c r="L24" s="106" t="s">
        <v>380</v>
      </c>
      <c r="M24" s="165" t="s">
        <v>1293</v>
      </c>
      <c r="N24" s="284" t="s">
        <v>884</v>
      </c>
      <c r="O24" s="2" t="s">
        <v>24</v>
      </c>
    </row>
    <row r="25" spans="1:15" s="2" customFormat="1" ht="15" customHeight="1">
      <c r="B25" s="14"/>
      <c r="F25" s="63"/>
      <c r="G25" s="127"/>
      <c r="I25" s="61"/>
      <c r="J25" s="360"/>
      <c r="K25" s="127"/>
      <c r="L25" s="106"/>
      <c r="M25" s="165"/>
      <c r="N25" s="284"/>
    </row>
    <row r="26" spans="1:15" s="117" customFormat="1" ht="15" customHeight="1">
      <c r="A26" s="17"/>
      <c r="B26" s="457"/>
      <c r="C26" s="86"/>
      <c r="D26" s="77"/>
      <c r="E26" s="76"/>
      <c r="F26" s="82"/>
      <c r="G26" s="192"/>
      <c r="H26" s="280"/>
      <c r="I26" s="79"/>
      <c r="J26" s="352"/>
      <c r="K26" s="194"/>
      <c r="L26" s="178"/>
      <c r="M26" s="166"/>
      <c r="N26" s="286"/>
      <c r="O26" s="116"/>
    </row>
    <row r="27" spans="1:15" s="117" customFormat="1" ht="15" customHeight="1">
      <c r="A27" s="86" t="s">
        <v>688</v>
      </c>
      <c r="B27" s="457" t="s">
        <v>689</v>
      </c>
      <c r="C27" s="86" t="s">
        <v>78</v>
      </c>
      <c r="D27" s="158">
        <v>40830</v>
      </c>
      <c r="E27" s="159">
        <v>2403</v>
      </c>
      <c r="F27" s="160">
        <v>232.1</v>
      </c>
      <c r="G27" s="193">
        <f t="shared" ref="G27:G36" si="0">SUM(E27*F27)/100</f>
        <v>5577.3629999999994</v>
      </c>
      <c r="H27" s="116"/>
      <c r="I27" s="158">
        <v>40837</v>
      </c>
      <c r="J27" s="373">
        <v>259.3</v>
      </c>
      <c r="K27" s="184">
        <f t="shared" ref="K27:K36" si="1">SUM(E27*J27)/100</f>
        <v>6230.9790000000003</v>
      </c>
      <c r="L27" s="181">
        <f>SUM(G27-K27)</f>
        <v>-653.61600000000089</v>
      </c>
      <c r="M27" s="171">
        <v>1.57897</v>
      </c>
      <c r="N27" s="286">
        <f>SUM(G27-K27)*M27</f>
        <v>-1032.0400555200015</v>
      </c>
      <c r="O27" s="116"/>
    </row>
    <row r="28" spans="1:15" s="117" customFormat="1" ht="15" customHeight="1">
      <c r="A28" s="86" t="s">
        <v>690</v>
      </c>
      <c r="B28" s="457" t="s">
        <v>691</v>
      </c>
      <c r="C28" s="86" t="s">
        <v>78</v>
      </c>
      <c r="D28" s="158">
        <v>40830</v>
      </c>
      <c r="E28" s="159">
        <v>1815</v>
      </c>
      <c r="F28" s="160">
        <v>318</v>
      </c>
      <c r="G28" s="193">
        <f t="shared" si="0"/>
        <v>5771.7</v>
      </c>
      <c r="H28" s="116"/>
      <c r="I28" s="158">
        <v>40837</v>
      </c>
      <c r="J28" s="373">
        <v>354</v>
      </c>
      <c r="K28" s="184">
        <f t="shared" si="1"/>
        <v>6425.1</v>
      </c>
      <c r="L28" s="181">
        <f>SUM(G28-K28)</f>
        <v>-653.40000000000055</v>
      </c>
      <c r="M28" s="171">
        <v>1.57897</v>
      </c>
      <c r="N28" s="286">
        <f>SUM(G28-K28)*M28</f>
        <v>-1031.6989980000008</v>
      </c>
      <c r="O28" s="116"/>
    </row>
    <row r="29" spans="1:15" s="117" customFormat="1" ht="15" customHeight="1">
      <c r="A29" s="86" t="s">
        <v>692</v>
      </c>
      <c r="B29" s="457" t="s">
        <v>693</v>
      </c>
      <c r="C29" s="86" t="s">
        <v>78</v>
      </c>
      <c r="D29" s="158">
        <v>40830</v>
      </c>
      <c r="E29" s="159">
        <v>553</v>
      </c>
      <c r="F29" s="160">
        <v>1329</v>
      </c>
      <c r="G29" s="193">
        <f t="shared" si="0"/>
        <v>7349.37</v>
      </c>
      <c r="H29" s="116"/>
      <c r="I29" s="158">
        <v>40844</v>
      </c>
      <c r="J29" s="373">
        <v>1447</v>
      </c>
      <c r="K29" s="184">
        <f t="shared" si="1"/>
        <v>8001.91</v>
      </c>
      <c r="L29" s="181">
        <f>SUM(G29-K29)</f>
        <v>-652.54</v>
      </c>
      <c r="M29" s="171">
        <v>1.6100099999999999</v>
      </c>
      <c r="N29" s="286">
        <f>SUM(G29-K29)*M29</f>
        <v>-1050.5959253999999</v>
      </c>
      <c r="O29" s="116"/>
    </row>
    <row r="30" spans="1:15" s="117" customFormat="1" ht="15" customHeight="1">
      <c r="A30" s="86" t="s">
        <v>694</v>
      </c>
      <c r="B30" s="457" t="s">
        <v>695</v>
      </c>
      <c r="C30" s="86" t="s">
        <v>78</v>
      </c>
      <c r="D30" s="158">
        <v>40830</v>
      </c>
      <c r="E30" s="159">
        <v>1219</v>
      </c>
      <c r="F30" s="160">
        <v>295.89999999999998</v>
      </c>
      <c r="G30" s="193">
        <f t="shared" si="0"/>
        <v>3607.0209999999997</v>
      </c>
      <c r="H30" s="116"/>
      <c r="I30" s="158">
        <v>40851</v>
      </c>
      <c r="J30" s="373">
        <v>349.5</v>
      </c>
      <c r="K30" s="184">
        <f t="shared" si="1"/>
        <v>4260.4049999999997</v>
      </c>
      <c r="L30" s="181">
        <f>SUM(G30-K30)</f>
        <v>-653.38400000000001</v>
      </c>
      <c r="M30" s="171">
        <v>1.6032200000000001</v>
      </c>
      <c r="N30" s="286">
        <f>SUM(G30-K30)*M30</f>
        <v>-1047.5182964800001</v>
      </c>
      <c r="O30" s="116"/>
    </row>
    <row r="31" spans="1:15" s="117" customFormat="1" ht="15" customHeight="1">
      <c r="A31" s="84" t="s">
        <v>696</v>
      </c>
      <c r="B31" s="446" t="s">
        <v>697</v>
      </c>
      <c r="C31" s="80" t="s">
        <v>53</v>
      </c>
      <c r="D31" s="142">
        <v>40851</v>
      </c>
      <c r="E31" s="156">
        <v>1903</v>
      </c>
      <c r="F31" s="157">
        <v>506.7</v>
      </c>
      <c r="G31" s="192">
        <f t="shared" si="0"/>
        <v>9642.5010000000002</v>
      </c>
      <c r="H31" s="280"/>
      <c r="I31" s="142">
        <v>40872</v>
      </c>
      <c r="J31" s="371">
        <v>472.7</v>
      </c>
      <c r="K31" s="194">
        <f t="shared" si="1"/>
        <v>8995.4809999999998</v>
      </c>
      <c r="L31" s="178">
        <f>SUM(K31-G31)</f>
        <v>-647.02000000000044</v>
      </c>
      <c r="M31" s="166">
        <v>1.5494600000000001</v>
      </c>
      <c r="N31" s="285">
        <f>SUM(K31-G31)*M31</f>
        <v>-1002.5316092000007</v>
      </c>
      <c r="O31" s="116"/>
    </row>
    <row r="32" spans="1:15" s="117" customFormat="1" ht="15" customHeight="1">
      <c r="A32" s="84" t="s">
        <v>698</v>
      </c>
      <c r="B32" s="446" t="s">
        <v>699</v>
      </c>
      <c r="C32" s="80" t="s">
        <v>53</v>
      </c>
      <c r="D32" s="142">
        <v>40844</v>
      </c>
      <c r="E32" s="156">
        <v>2141</v>
      </c>
      <c r="F32" s="157">
        <v>629</v>
      </c>
      <c r="G32" s="192">
        <f t="shared" si="0"/>
        <v>13466.89</v>
      </c>
      <c r="H32" s="280"/>
      <c r="I32" s="142">
        <v>40879</v>
      </c>
      <c r="J32" s="371">
        <v>645.1</v>
      </c>
      <c r="K32" s="194">
        <f t="shared" si="1"/>
        <v>13811.591</v>
      </c>
      <c r="L32" s="178">
        <f>SUM(K32-G32)</f>
        <v>344.70100000000093</v>
      </c>
      <c r="M32" s="166">
        <v>1.5686</v>
      </c>
      <c r="N32" s="285">
        <f>SUM(K32-G32)*M32</f>
        <v>540.69798860000151</v>
      </c>
      <c r="O32" s="116"/>
    </row>
    <row r="33" spans="1:15" s="117" customFormat="1" ht="15" customHeight="1">
      <c r="A33" s="84" t="s">
        <v>700</v>
      </c>
      <c r="B33" s="446" t="s">
        <v>701</v>
      </c>
      <c r="C33" s="80" t="s">
        <v>53</v>
      </c>
      <c r="D33" s="142">
        <v>40872</v>
      </c>
      <c r="E33" s="156">
        <v>3346</v>
      </c>
      <c r="F33" s="157">
        <v>299.39999999999998</v>
      </c>
      <c r="G33" s="192">
        <f t="shared" si="0"/>
        <v>10017.923999999999</v>
      </c>
      <c r="H33" s="280"/>
      <c r="I33" s="142">
        <v>40879</v>
      </c>
      <c r="J33" s="371">
        <v>280.60000000000002</v>
      </c>
      <c r="K33" s="194">
        <f t="shared" si="1"/>
        <v>9388.8760000000002</v>
      </c>
      <c r="L33" s="178">
        <f>SUM(K33-G33)</f>
        <v>-629.04799999999886</v>
      </c>
      <c r="M33" s="166">
        <v>1.5686</v>
      </c>
      <c r="N33" s="285">
        <f>SUM(K33-G33)*M33</f>
        <v>-986.72469279999825</v>
      </c>
      <c r="O33" s="116"/>
    </row>
    <row r="34" spans="1:15" s="117" customFormat="1" ht="15" customHeight="1">
      <c r="A34" s="86" t="s">
        <v>702</v>
      </c>
      <c r="B34" s="457" t="s">
        <v>703</v>
      </c>
      <c r="C34" s="86" t="s">
        <v>78</v>
      </c>
      <c r="D34" s="158">
        <v>40879</v>
      </c>
      <c r="E34" s="159">
        <v>3359</v>
      </c>
      <c r="F34" s="160">
        <v>343.2</v>
      </c>
      <c r="G34" s="193">
        <f t="shared" si="0"/>
        <v>11528.088</v>
      </c>
      <c r="H34" s="116"/>
      <c r="I34" s="158">
        <v>40886</v>
      </c>
      <c r="J34" s="373">
        <v>360.13</v>
      </c>
      <c r="K34" s="184">
        <f t="shared" si="1"/>
        <v>12096.7667</v>
      </c>
      <c r="L34" s="181">
        <f>SUM(G34-K34)</f>
        <v>-568.67870000000039</v>
      </c>
      <c r="M34" s="171">
        <v>1.56273</v>
      </c>
      <c r="N34" s="286">
        <f>SUM(G34-K34)*M34</f>
        <v>-888.6912648510006</v>
      </c>
      <c r="O34" s="116"/>
    </row>
    <row r="35" spans="1:15" s="117" customFormat="1" ht="15" customHeight="1">
      <c r="A35" s="86" t="s">
        <v>704</v>
      </c>
      <c r="B35" s="457" t="s">
        <v>705</v>
      </c>
      <c r="C35" s="86" t="s">
        <v>78</v>
      </c>
      <c r="D35" s="158">
        <v>40830</v>
      </c>
      <c r="E35" s="159">
        <v>12569</v>
      </c>
      <c r="F35" s="160">
        <v>131.6</v>
      </c>
      <c r="G35" s="193">
        <f t="shared" si="0"/>
        <v>16540.804</v>
      </c>
      <c r="H35" s="116"/>
      <c r="I35" s="158">
        <v>40893</v>
      </c>
      <c r="J35" s="373">
        <v>136.4</v>
      </c>
      <c r="K35" s="184">
        <f t="shared" si="1"/>
        <v>17144.116000000002</v>
      </c>
      <c r="L35" s="181">
        <f>SUM(G35-K35)</f>
        <v>-603.31200000000172</v>
      </c>
      <c r="M35" s="171">
        <v>1.55148</v>
      </c>
      <c r="N35" s="286">
        <f>SUM(G35-K35)*M35</f>
        <v>-936.0265017600027</v>
      </c>
      <c r="O35" s="116"/>
    </row>
    <row r="36" spans="1:15" s="117" customFormat="1" ht="15" customHeight="1">
      <c r="A36" s="84" t="s">
        <v>706</v>
      </c>
      <c r="B36" s="446" t="s">
        <v>707</v>
      </c>
      <c r="C36" s="80" t="s">
        <v>53</v>
      </c>
      <c r="D36" s="142">
        <v>40914</v>
      </c>
      <c r="E36" s="156">
        <v>543</v>
      </c>
      <c r="F36" s="157">
        <v>2372</v>
      </c>
      <c r="G36" s="192">
        <f t="shared" si="0"/>
        <v>12879.96</v>
      </c>
      <c r="H36" s="280"/>
      <c r="I36" s="142">
        <v>40921</v>
      </c>
      <c r="J36" s="371">
        <v>2287</v>
      </c>
      <c r="K36" s="194">
        <f t="shared" si="1"/>
        <v>12418.41</v>
      </c>
      <c r="L36" s="178">
        <f>SUM(K36-G36)</f>
        <v>-461.54999999999927</v>
      </c>
      <c r="M36" s="166">
        <v>1.53322</v>
      </c>
      <c r="N36" s="285">
        <f t="shared" ref="N36:N51" si="2">SUM(K36-G36)*M36</f>
        <v>-707.65769099999886</v>
      </c>
      <c r="O36" s="116"/>
    </row>
    <row r="37" spans="1:15" s="117" customFormat="1" ht="15" customHeight="1">
      <c r="A37" s="84" t="s">
        <v>708</v>
      </c>
      <c r="B37" s="446" t="s">
        <v>709</v>
      </c>
      <c r="C37" s="80" t="s">
        <v>53</v>
      </c>
      <c r="D37" s="142">
        <v>40914</v>
      </c>
      <c r="E37" s="156">
        <v>1184</v>
      </c>
      <c r="F37" s="157">
        <v>1244</v>
      </c>
      <c r="G37" s="192">
        <f t="shared" ref="G37:G62" si="3">SUM(E37*F37)/100</f>
        <v>14728.96</v>
      </c>
      <c r="H37" s="280"/>
      <c r="I37" s="142">
        <v>40928</v>
      </c>
      <c r="J37" s="371">
        <v>1194</v>
      </c>
      <c r="K37" s="194">
        <f t="shared" ref="K37:K62" si="4">SUM(E37*J37)/100</f>
        <v>14136.96</v>
      </c>
      <c r="L37" s="178">
        <f t="shared" ref="L37:L62" si="5">SUM(K37-G37)</f>
        <v>-592</v>
      </c>
      <c r="M37" s="166">
        <v>1.5486599999999999</v>
      </c>
      <c r="N37" s="285">
        <f t="shared" si="2"/>
        <v>-916.80671999999993</v>
      </c>
      <c r="O37" s="116"/>
    </row>
    <row r="38" spans="1:15" s="117" customFormat="1" ht="15" customHeight="1">
      <c r="A38" s="84" t="s">
        <v>710</v>
      </c>
      <c r="B38" s="446" t="s">
        <v>390</v>
      </c>
      <c r="C38" s="80" t="s">
        <v>53</v>
      </c>
      <c r="D38" s="142">
        <v>40914</v>
      </c>
      <c r="E38" s="156">
        <v>2318</v>
      </c>
      <c r="F38" s="157">
        <v>762.3</v>
      </c>
      <c r="G38" s="192">
        <f t="shared" si="3"/>
        <v>17670.113999999998</v>
      </c>
      <c r="H38" s="280"/>
      <c r="I38" s="142">
        <v>40928</v>
      </c>
      <c r="J38" s="371">
        <v>733.7</v>
      </c>
      <c r="K38" s="194">
        <f t="shared" si="4"/>
        <v>17007.166000000001</v>
      </c>
      <c r="L38" s="178">
        <f t="shared" si="5"/>
        <v>-662.94799999999668</v>
      </c>
      <c r="M38" s="166">
        <v>1.5486599999999999</v>
      </c>
      <c r="N38" s="285">
        <f t="shared" si="2"/>
        <v>-1026.6810496799949</v>
      </c>
      <c r="O38" s="116"/>
    </row>
    <row r="39" spans="1:15" s="117" customFormat="1" ht="15" customHeight="1">
      <c r="A39" s="84" t="s">
        <v>711</v>
      </c>
      <c r="B39" s="446" t="s">
        <v>712</v>
      </c>
      <c r="C39" s="80" t="s">
        <v>53</v>
      </c>
      <c r="D39" s="142">
        <v>40907</v>
      </c>
      <c r="E39" s="156">
        <v>8022</v>
      </c>
      <c r="F39" s="157">
        <v>187</v>
      </c>
      <c r="G39" s="192">
        <f t="shared" si="3"/>
        <v>15001.14</v>
      </c>
      <c r="H39" s="280"/>
      <c r="I39" s="142">
        <v>40970</v>
      </c>
      <c r="J39" s="371">
        <v>187.785</v>
      </c>
      <c r="K39" s="194">
        <f t="shared" si="4"/>
        <v>15064.1127</v>
      </c>
      <c r="L39" s="178">
        <f t="shared" si="5"/>
        <v>62.972700000000259</v>
      </c>
      <c r="M39" s="166">
        <v>1.5803199999999999</v>
      </c>
      <c r="N39" s="285">
        <f t="shared" si="2"/>
        <v>99.517017264000401</v>
      </c>
      <c r="O39" s="116"/>
    </row>
    <row r="40" spans="1:15" s="117" customFormat="1" ht="15" customHeight="1">
      <c r="A40" s="84" t="s">
        <v>713</v>
      </c>
      <c r="B40" s="446" t="s">
        <v>714</v>
      </c>
      <c r="C40" s="80" t="s">
        <v>53</v>
      </c>
      <c r="D40" s="142">
        <v>40956</v>
      </c>
      <c r="E40" s="156">
        <v>2255</v>
      </c>
      <c r="F40" s="157">
        <v>1212</v>
      </c>
      <c r="G40" s="192">
        <f t="shared" si="3"/>
        <v>27330.6</v>
      </c>
      <c r="H40" s="280"/>
      <c r="I40" s="142">
        <v>40970</v>
      </c>
      <c r="J40" s="371">
        <v>1182</v>
      </c>
      <c r="K40" s="194">
        <f t="shared" si="4"/>
        <v>26654.1</v>
      </c>
      <c r="L40" s="178">
        <f t="shared" si="5"/>
        <v>-676.5</v>
      </c>
      <c r="M40" s="166">
        <v>1.5831999999999999</v>
      </c>
      <c r="N40" s="285">
        <f t="shared" si="2"/>
        <v>-1071.0347999999999</v>
      </c>
      <c r="O40" s="116"/>
    </row>
    <row r="41" spans="1:15" s="117" customFormat="1" ht="15" customHeight="1">
      <c r="A41" s="84" t="s">
        <v>715</v>
      </c>
      <c r="B41" s="446" t="s">
        <v>716</v>
      </c>
      <c r="C41" s="80" t="s">
        <v>53</v>
      </c>
      <c r="D41" s="142">
        <v>40914</v>
      </c>
      <c r="E41" s="156">
        <v>2883</v>
      </c>
      <c r="F41" s="157">
        <v>281.10000000000002</v>
      </c>
      <c r="G41" s="192">
        <f t="shared" si="3"/>
        <v>8104.1130000000003</v>
      </c>
      <c r="H41" s="280"/>
      <c r="I41" s="142">
        <v>40977</v>
      </c>
      <c r="J41" s="371">
        <v>274.3</v>
      </c>
      <c r="K41" s="194">
        <f t="shared" si="4"/>
        <v>7908.0690000000004</v>
      </c>
      <c r="L41" s="178">
        <f t="shared" si="5"/>
        <v>-196.04399999999987</v>
      </c>
      <c r="M41" s="166">
        <v>1.5829</v>
      </c>
      <c r="N41" s="285">
        <f t="shared" si="2"/>
        <v>-310.31804759999977</v>
      </c>
      <c r="O41" s="116"/>
    </row>
    <row r="42" spans="1:15" s="117" customFormat="1" ht="15" customHeight="1">
      <c r="A42" s="84" t="s">
        <v>717</v>
      </c>
      <c r="B42" s="446" t="s">
        <v>718</v>
      </c>
      <c r="C42" s="80" t="s">
        <v>53</v>
      </c>
      <c r="D42" s="142">
        <v>40914</v>
      </c>
      <c r="E42" s="156">
        <v>3855</v>
      </c>
      <c r="F42" s="157">
        <v>392.7</v>
      </c>
      <c r="G42" s="192">
        <f t="shared" si="3"/>
        <v>15138.584999999999</v>
      </c>
      <c r="H42" s="280"/>
      <c r="I42" s="142">
        <v>40977</v>
      </c>
      <c r="J42" s="371">
        <v>477.8</v>
      </c>
      <c r="K42" s="194">
        <f t="shared" si="4"/>
        <v>18419.189999999999</v>
      </c>
      <c r="L42" s="178">
        <f t="shared" si="5"/>
        <v>3280.6049999999996</v>
      </c>
      <c r="M42" s="166">
        <v>1.5829</v>
      </c>
      <c r="N42" s="285">
        <f t="shared" si="2"/>
        <v>5192.8696544999993</v>
      </c>
      <c r="O42" s="116"/>
    </row>
    <row r="43" spans="1:15" s="117" customFormat="1" ht="15" customHeight="1">
      <c r="A43" s="84" t="s">
        <v>719</v>
      </c>
      <c r="B43" s="446" t="s">
        <v>720</v>
      </c>
      <c r="C43" s="80" t="s">
        <v>53</v>
      </c>
      <c r="D43" s="142">
        <v>40921</v>
      </c>
      <c r="E43" s="156">
        <v>6480</v>
      </c>
      <c r="F43" s="157">
        <v>353.6</v>
      </c>
      <c r="G43" s="192">
        <f t="shared" si="3"/>
        <v>22913.279999999999</v>
      </c>
      <c r="H43" s="280"/>
      <c r="I43" s="142">
        <v>40977</v>
      </c>
      <c r="J43" s="371">
        <v>363.04</v>
      </c>
      <c r="K43" s="194">
        <f t="shared" si="4"/>
        <v>23524.992000000002</v>
      </c>
      <c r="L43" s="178">
        <f t="shared" si="5"/>
        <v>611.71200000000317</v>
      </c>
      <c r="M43" s="166">
        <v>1.5829</v>
      </c>
      <c r="N43" s="285">
        <f t="shared" si="2"/>
        <v>968.27892480000503</v>
      </c>
      <c r="O43" s="116"/>
    </row>
    <row r="44" spans="1:15" s="117" customFormat="1" ht="15" customHeight="1">
      <c r="A44" s="84" t="s">
        <v>721</v>
      </c>
      <c r="B44" s="446" t="s">
        <v>722</v>
      </c>
      <c r="C44" s="80" t="s">
        <v>53</v>
      </c>
      <c r="D44" s="142">
        <v>40921</v>
      </c>
      <c r="E44" s="156">
        <v>5435</v>
      </c>
      <c r="F44" s="157">
        <v>962.2</v>
      </c>
      <c r="G44" s="192">
        <f t="shared" si="3"/>
        <v>52295.57</v>
      </c>
      <c r="H44" s="280"/>
      <c r="I44" s="142">
        <v>40977</v>
      </c>
      <c r="J44" s="371">
        <v>949.8</v>
      </c>
      <c r="K44" s="194">
        <f t="shared" si="4"/>
        <v>51621.63</v>
      </c>
      <c r="L44" s="178">
        <f t="shared" si="5"/>
        <v>-673.94000000000233</v>
      </c>
      <c r="M44" s="166">
        <v>1.5829</v>
      </c>
      <c r="N44" s="285">
        <f t="shared" si="2"/>
        <v>-1066.7796260000036</v>
      </c>
      <c r="O44" s="116"/>
    </row>
    <row r="45" spans="1:15" s="117" customFormat="1" ht="15" customHeight="1">
      <c r="A45" s="84" t="s">
        <v>723</v>
      </c>
      <c r="B45" s="446" t="s">
        <v>724</v>
      </c>
      <c r="C45" s="80" t="s">
        <v>53</v>
      </c>
      <c r="D45" s="142">
        <v>40949</v>
      </c>
      <c r="E45" s="156">
        <v>10918</v>
      </c>
      <c r="F45" s="157">
        <v>201</v>
      </c>
      <c r="G45" s="192">
        <f t="shared" si="3"/>
        <v>21945.18</v>
      </c>
      <c r="H45" s="280"/>
      <c r="I45" s="142">
        <v>40977</v>
      </c>
      <c r="J45" s="371">
        <v>197.8</v>
      </c>
      <c r="K45" s="194">
        <f t="shared" si="4"/>
        <v>21595.804</v>
      </c>
      <c r="L45" s="178">
        <f t="shared" si="5"/>
        <v>-349.3760000000002</v>
      </c>
      <c r="M45" s="166">
        <v>1.5829</v>
      </c>
      <c r="N45" s="285">
        <f t="shared" si="2"/>
        <v>-553.02727040000036</v>
      </c>
      <c r="O45" s="116"/>
    </row>
    <row r="46" spans="1:15" s="117" customFormat="1" ht="15" customHeight="1">
      <c r="A46" s="84" t="s">
        <v>725</v>
      </c>
      <c r="B46" s="446" t="s">
        <v>726</v>
      </c>
      <c r="C46" s="80" t="s">
        <v>53</v>
      </c>
      <c r="D46" s="142">
        <v>40956</v>
      </c>
      <c r="E46" s="156">
        <v>638</v>
      </c>
      <c r="F46" s="157">
        <v>2197</v>
      </c>
      <c r="G46" s="192">
        <f t="shared" si="3"/>
        <v>14016.86</v>
      </c>
      <c r="H46" s="280"/>
      <c r="I46" s="142">
        <v>40977</v>
      </c>
      <c r="J46" s="371">
        <v>2091</v>
      </c>
      <c r="K46" s="194">
        <f t="shared" si="4"/>
        <v>13340.58</v>
      </c>
      <c r="L46" s="178">
        <f t="shared" si="5"/>
        <v>-676.28000000000065</v>
      </c>
      <c r="M46" s="166">
        <v>1.5829</v>
      </c>
      <c r="N46" s="285">
        <f t="shared" si="2"/>
        <v>-1070.4836120000011</v>
      </c>
      <c r="O46" s="116"/>
    </row>
    <row r="47" spans="1:15" s="117" customFormat="1" ht="15" customHeight="1">
      <c r="A47" s="84" t="s">
        <v>727</v>
      </c>
      <c r="B47" s="446" t="s">
        <v>728</v>
      </c>
      <c r="C47" s="80" t="s">
        <v>53</v>
      </c>
      <c r="D47" s="142">
        <v>40970</v>
      </c>
      <c r="E47" s="156">
        <v>3578</v>
      </c>
      <c r="F47" s="157">
        <v>393.6</v>
      </c>
      <c r="G47" s="192">
        <f t="shared" si="3"/>
        <v>14083.008</v>
      </c>
      <c r="H47" s="280"/>
      <c r="I47" s="142">
        <v>40977</v>
      </c>
      <c r="J47" s="371">
        <v>374.6</v>
      </c>
      <c r="K47" s="194">
        <f t="shared" si="4"/>
        <v>13403.188</v>
      </c>
      <c r="L47" s="178">
        <f t="shared" si="5"/>
        <v>-679.81999999999971</v>
      </c>
      <c r="M47" s="166">
        <v>1.5829</v>
      </c>
      <c r="N47" s="285">
        <f t="shared" si="2"/>
        <v>-1076.0870779999996</v>
      </c>
      <c r="O47" s="116"/>
    </row>
    <row r="48" spans="1:15" s="117" customFormat="1" ht="15" customHeight="1">
      <c r="A48" s="84" t="s">
        <v>729</v>
      </c>
      <c r="B48" s="446" t="s">
        <v>730</v>
      </c>
      <c r="C48" s="80" t="s">
        <v>53</v>
      </c>
      <c r="D48" s="142">
        <v>40865</v>
      </c>
      <c r="E48" s="156">
        <v>2734</v>
      </c>
      <c r="F48" s="157">
        <v>366.58</v>
      </c>
      <c r="G48" s="192">
        <f t="shared" si="3"/>
        <v>10022.297199999999</v>
      </c>
      <c r="H48" s="280"/>
      <c r="I48" s="142">
        <v>40991</v>
      </c>
      <c r="J48" s="371">
        <v>440.8</v>
      </c>
      <c r="K48" s="194">
        <f t="shared" si="4"/>
        <v>12051.472</v>
      </c>
      <c r="L48" s="178">
        <f t="shared" si="5"/>
        <v>2029.1748000000007</v>
      </c>
      <c r="M48" s="166">
        <v>1.58199</v>
      </c>
      <c r="N48" s="285">
        <f t="shared" si="2"/>
        <v>3210.1342418520012</v>
      </c>
      <c r="O48" s="116"/>
    </row>
    <row r="49" spans="1:15" s="117" customFormat="1" ht="15" customHeight="1">
      <c r="A49" s="84" t="s">
        <v>731</v>
      </c>
      <c r="B49" s="446" t="s">
        <v>732</v>
      </c>
      <c r="C49" s="80" t="s">
        <v>53</v>
      </c>
      <c r="D49" s="142">
        <v>40942</v>
      </c>
      <c r="E49" s="156">
        <v>6673</v>
      </c>
      <c r="F49" s="157">
        <v>525.6</v>
      </c>
      <c r="G49" s="192">
        <f t="shared" si="3"/>
        <v>35073.288</v>
      </c>
      <c r="H49" s="280"/>
      <c r="I49" s="142">
        <v>40991</v>
      </c>
      <c r="J49" s="371">
        <v>516.29999999999995</v>
      </c>
      <c r="K49" s="194">
        <f t="shared" si="4"/>
        <v>34452.699000000001</v>
      </c>
      <c r="L49" s="178">
        <f t="shared" si="5"/>
        <v>-620.58899999999994</v>
      </c>
      <c r="M49" s="166">
        <v>1.58199</v>
      </c>
      <c r="N49" s="285">
        <f t="shared" si="2"/>
        <v>-981.76559210999994</v>
      </c>
      <c r="O49" s="116"/>
    </row>
    <row r="50" spans="1:15" s="117" customFormat="1" ht="15" customHeight="1">
      <c r="A50" s="84" t="s">
        <v>733</v>
      </c>
      <c r="B50" s="446" t="s">
        <v>734</v>
      </c>
      <c r="C50" s="80" t="s">
        <v>53</v>
      </c>
      <c r="D50" s="142">
        <v>40991</v>
      </c>
      <c r="E50" s="156">
        <v>3917</v>
      </c>
      <c r="F50" s="157">
        <v>409</v>
      </c>
      <c r="G50" s="192">
        <f t="shared" si="3"/>
        <v>16020.53</v>
      </c>
      <c r="H50" s="280"/>
      <c r="I50" s="142">
        <v>40991</v>
      </c>
      <c r="J50" s="371">
        <v>392.8</v>
      </c>
      <c r="K50" s="194">
        <f t="shared" si="4"/>
        <v>15385.976000000001</v>
      </c>
      <c r="L50" s="178">
        <f t="shared" si="5"/>
        <v>-634.55400000000009</v>
      </c>
      <c r="M50" s="166">
        <v>1.58199</v>
      </c>
      <c r="N50" s="285">
        <f t="shared" si="2"/>
        <v>-1003.8580824600001</v>
      </c>
      <c r="O50" s="116"/>
    </row>
    <row r="51" spans="1:15" s="117" customFormat="1" ht="15" customHeight="1">
      <c r="A51" s="84" t="s">
        <v>735</v>
      </c>
      <c r="B51" s="446" t="s">
        <v>736</v>
      </c>
      <c r="C51" s="80" t="s">
        <v>53</v>
      </c>
      <c r="D51" s="142">
        <v>40991</v>
      </c>
      <c r="E51" s="156">
        <v>4270</v>
      </c>
      <c r="F51" s="157">
        <v>999.5</v>
      </c>
      <c r="G51" s="192">
        <f t="shared" si="3"/>
        <v>42678.65</v>
      </c>
      <c r="H51" s="280"/>
      <c r="I51" s="142">
        <v>40991</v>
      </c>
      <c r="J51" s="371">
        <v>984.6</v>
      </c>
      <c r="K51" s="194">
        <f t="shared" si="4"/>
        <v>42042.42</v>
      </c>
      <c r="L51" s="178">
        <f t="shared" si="5"/>
        <v>-636.2300000000032</v>
      </c>
      <c r="M51" s="166">
        <v>1.58199</v>
      </c>
      <c r="N51" s="285">
        <f t="shared" si="2"/>
        <v>-1006.5094977000051</v>
      </c>
      <c r="O51" s="116"/>
    </row>
    <row r="52" spans="1:15" s="117" customFormat="1" ht="15" customHeight="1">
      <c r="A52" s="84" t="s">
        <v>737</v>
      </c>
      <c r="B52" s="446" t="s">
        <v>738</v>
      </c>
      <c r="C52" s="80" t="s">
        <v>53</v>
      </c>
      <c r="D52" s="142">
        <v>40991</v>
      </c>
      <c r="E52" s="156">
        <v>5302</v>
      </c>
      <c r="F52" s="157">
        <v>659</v>
      </c>
      <c r="G52" s="192">
        <f t="shared" si="3"/>
        <v>34940.18</v>
      </c>
      <c r="H52" s="280"/>
      <c r="I52" s="142">
        <v>40991</v>
      </c>
      <c r="J52" s="371">
        <v>647</v>
      </c>
      <c r="K52" s="194">
        <f t="shared" si="4"/>
        <v>34303.94</v>
      </c>
      <c r="L52" s="178">
        <f t="shared" si="5"/>
        <v>-636.23999999999796</v>
      </c>
      <c r="M52" s="166">
        <v>1.58199</v>
      </c>
      <c r="N52" s="285">
        <f>SUM(K52-G52)*M52</f>
        <v>-1006.5253175999968</v>
      </c>
      <c r="O52" s="116"/>
    </row>
    <row r="53" spans="1:15" s="117" customFormat="1" ht="15" customHeight="1">
      <c r="A53" s="84" t="s">
        <v>739</v>
      </c>
      <c r="B53" s="446" t="s">
        <v>740</v>
      </c>
      <c r="C53" s="80" t="s">
        <v>53</v>
      </c>
      <c r="D53" s="142">
        <v>40991</v>
      </c>
      <c r="E53" s="156">
        <v>1272</v>
      </c>
      <c r="F53" s="157">
        <v>1156</v>
      </c>
      <c r="G53" s="192">
        <f t="shared" si="3"/>
        <v>14704.32</v>
      </c>
      <c r="H53" s="280"/>
      <c r="I53" s="142">
        <v>40998</v>
      </c>
      <c r="J53" s="371">
        <v>1106</v>
      </c>
      <c r="K53" s="194">
        <f t="shared" si="4"/>
        <v>14068.32</v>
      </c>
      <c r="L53" s="178">
        <f t="shared" si="5"/>
        <v>-636</v>
      </c>
      <c r="M53" s="166">
        <v>1.59555</v>
      </c>
      <c r="N53" s="285">
        <f t="shared" ref="N53:N60" si="6">SUM(K53-G53)*M53</f>
        <v>-1014.7698</v>
      </c>
      <c r="O53" s="116"/>
    </row>
    <row r="54" spans="1:15" s="117" customFormat="1" ht="15" customHeight="1">
      <c r="A54" s="84" t="s">
        <v>741</v>
      </c>
      <c r="B54" s="446" t="s">
        <v>742</v>
      </c>
      <c r="C54" s="80" t="s">
        <v>53</v>
      </c>
      <c r="D54" s="142">
        <v>40991</v>
      </c>
      <c r="E54" s="156">
        <v>6492</v>
      </c>
      <c r="F54" s="157">
        <v>423.9</v>
      </c>
      <c r="G54" s="192">
        <f t="shared" si="3"/>
        <v>27519.588</v>
      </c>
      <c r="H54" s="280"/>
      <c r="I54" s="142">
        <v>40998</v>
      </c>
      <c r="J54" s="371">
        <v>414.1</v>
      </c>
      <c r="K54" s="194">
        <f t="shared" si="4"/>
        <v>26883.372000000003</v>
      </c>
      <c r="L54" s="178">
        <f t="shared" si="5"/>
        <v>-636.21599999999671</v>
      </c>
      <c r="M54" s="166">
        <v>1.59555</v>
      </c>
      <c r="N54" s="285">
        <f t="shared" si="6"/>
        <v>-1015.1144387999948</v>
      </c>
      <c r="O54" s="116"/>
    </row>
    <row r="55" spans="1:15" s="117" customFormat="1" ht="15" customHeight="1">
      <c r="A55" s="84" t="s">
        <v>743</v>
      </c>
      <c r="B55" s="446" t="s">
        <v>744</v>
      </c>
      <c r="C55" s="80" t="s">
        <v>53</v>
      </c>
      <c r="D55" s="142">
        <v>40991</v>
      </c>
      <c r="E55" s="156">
        <v>5215</v>
      </c>
      <c r="F55" s="157">
        <v>501</v>
      </c>
      <c r="G55" s="192">
        <f t="shared" si="3"/>
        <v>26127.15</v>
      </c>
      <c r="H55" s="280"/>
      <c r="I55" s="142">
        <v>40998</v>
      </c>
      <c r="J55" s="371">
        <v>488.8</v>
      </c>
      <c r="K55" s="194">
        <f t="shared" si="4"/>
        <v>25490.92</v>
      </c>
      <c r="L55" s="178">
        <f t="shared" si="5"/>
        <v>-636.2300000000032</v>
      </c>
      <c r="M55" s="166">
        <v>1.59555</v>
      </c>
      <c r="N55" s="285">
        <f t="shared" si="6"/>
        <v>-1015.1367765000051</v>
      </c>
      <c r="O55" s="116"/>
    </row>
    <row r="56" spans="1:15" s="117" customFormat="1" ht="15" customHeight="1">
      <c r="A56" s="84" t="s">
        <v>745</v>
      </c>
      <c r="B56" s="446" t="s">
        <v>746</v>
      </c>
      <c r="C56" s="80" t="s">
        <v>53</v>
      </c>
      <c r="D56" s="142">
        <v>40963</v>
      </c>
      <c r="E56" s="156">
        <v>6604</v>
      </c>
      <c r="F56" s="157">
        <v>125.7</v>
      </c>
      <c r="G56" s="192">
        <f t="shared" si="3"/>
        <v>8301.228000000001</v>
      </c>
      <c r="H56" s="280"/>
      <c r="I56" s="142">
        <v>41005</v>
      </c>
      <c r="J56" s="371">
        <v>134.27000000000001</v>
      </c>
      <c r="K56" s="194">
        <f t="shared" si="4"/>
        <v>8867.1908000000003</v>
      </c>
      <c r="L56" s="178">
        <f t="shared" si="5"/>
        <v>565.96279999999933</v>
      </c>
      <c r="M56" s="166">
        <v>1.5826899999999999</v>
      </c>
      <c r="N56" s="285">
        <f t="shared" si="6"/>
        <v>895.74366393199887</v>
      </c>
      <c r="O56" s="116"/>
    </row>
    <row r="57" spans="1:15" s="117" customFormat="1" ht="15" customHeight="1">
      <c r="A57" s="84" t="s">
        <v>747</v>
      </c>
      <c r="B57" s="446" t="s">
        <v>748</v>
      </c>
      <c r="C57" s="80" t="s">
        <v>53</v>
      </c>
      <c r="D57" s="142">
        <v>41019</v>
      </c>
      <c r="E57" s="156">
        <v>15321</v>
      </c>
      <c r="F57" s="157">
        <v>126</v>
      </c>
      <c r="G57" s="192">
        <f t="shared" si="3"/>
        <v>19304.46</v>
      </c>
      <c r="H57" s="280"/>
      <c r="I57" s="142">
        <v>41033</v>
      </c>
      <c r="J57" s="371">
        <v>124.6</v>
      </c>
      <c r="K57" s="194">
        <f t="shared" si="4"/>
        <v>19089.966</v>
      </c>
      <c r="L57" s="178">
        <f t="shared" si="5"/>
        <v>-214.49399999999878</v>
      </c>
      <c r="M57" s="166">
        <v>1.61757</v>
      </c>
      <c r="N57" s="285">
        <f t="shared" si="6"/>
        <v>-346.95905957999804</v>
      </c>
      <c r="O57" s="116"/>
    </row>
    <row r="58" spans="1:15" s="117" customFormat="1" ht="15" customHeight="1">
      <c r="A58" s="84" t="s">
        <v>710</v>
      </c>
      <c r="B58" s="446" t="s">
        <v>390</v>
      </c>
      <c r="C58" s="80" t="s">
        <v>53</v>
      </c>
      <c r="D58" s="142">
        <v>41033</v>
      </c>
      <c r="E58" s="156">
        <v>3292</v>
      </c>
      <c r="F58" s="157">
        <v>859.6</v>
      </c>
      <c r="G58" s="192">
        <f t="shared" si="3"/>
        <v>28298.032000000003</v>
      </c>
      <c r="H58" s="280"/>
      <c r="I58" s="142">
        <v>41033</v>
      </c>
      <c r="J58" s="371">
        <v>840.4</v>
      </c>
      <c r="K58" s="194">
        <f t="shared" si="4"/>
        <v>27665.967999999997</v>
      </c>
      <c r="L58" s="178">
        <f t="shared" si="5"/>
        <v>-632.06400000000576</v>
      </c>
      <c r="M58" s="166">
        <v>1.61757</v>
      </c>
      <c r="N58" s="285">
        <f t="shared" si="6"/>
        <v>-1022.4077644800093</v>
      </c>
      <c r="O58" s="116"/>
    </row>
    <row r="59" spans="1:15" s="117" customFormat="1" ht="15" customHeight="1">
      <c r="A59" s="84" t="s">
        <v>749</v>
      </c>
      <c r="B59" s="446" t="s">
        <v>750</v>
      </c>
      <c r="C59" s="80" t="s">
        <v>53</v>
      </c>
      <c r="D59" s="142">
        <v>40949</v>
      </c>
      <c r="E59" s="156">
        <v>14716</v>
      </c>
      <c r="F59" s="157">
        <v>140.69999999999999</v>
      </c>
      <c r="G59" s="192">
        <f t="shared" si="3"/>
        <v>20705.411999999997</v>
      </c>
      <c r="H59" s="280"/>
      <c r="I59" s="142">
        <v>41040</v>
      </c>
      <c r="J59" s="371">
        <v>145</v>
      </c>
      <c r="K59" s="194">
        <f t="shared" si="4"/>
        <v>21338.2</v>
      </c>
      <c r="L59" s="178">
        <f t="shared" si="5"/>
        <v>632.7880000000041</v>
      </c>
      <c r="M59" s="166">
        <v>1.61425</v>
      </c>
      <c r="N59" s="285">
        <f t="shared" si="6"/>
        <v>1021.4780290000066</v>
      </c>
      <c r="O59" s="116"/>
    </row>
    <row r="60" spans="1:15" s="117" customFormat="1" ht="15" customHeight="1">
      <c r="A60" s="84" t="s">
        <v>751</v>
      </c>
      <c r="B60" s="446" t="s">
        <v>752</v>
      </c>
      <c r="C60" s="80" t="s">
        <v>53</v>
      </c>
      <c r="D60" s="142">
        <v>40977</v>
      </c>
      <c r="E60" s="156">
        <v>975</v>
      </c>
      <c r="F60" s="157">
        <v>1644</v>
      </c>
      <c r="G60" s="192">
        <f t="shared" si="3"/>
        <v>16029</v>
      </c>
      <c r="H60" s="280"/>
      <c r="I60" s="142">
        <v>41040</v>
      </c>
      <c r="J60" s="371">
        <v>1639</v>
      </c>
      <c r="K60" s="194">
        <f t="shared" si="4"/>
        <v>15980.25</v>
      </c>
      <c r="L60" s="178">
        <f t="shared" si="5"/>
        <v>-48.75</v>
      </c>
      <c r="M60" s="166">
        <v>1.61425</v>
      </c>
      <c r="N60" s="285">
        <f t="shared" si="6"/>
        <v>-78.694687500000001</v>
      </c>
      <c r="O60" s="116"/>
    </row>
    <row r="61" spans="1:15" s="117" customFormat="1" ht="15" customHeight="1">
      <c r="A61" s="86" t="s">
        <v>753</v>
      </c>
      <c r="B61" s="457" t="s">
        <v>754</v>
      </c>
      <c r="C61" s="86" t="s">
        <v>78</v>
      </c>
      <c r="D61" s="158">
        <v>40956</v>
      </c>
      <c r="E61" s="159">
        <v>3487</v>
      </c>
      <c r="F61" s="160">
        <v>291.5</v>
      </c>
      <c r="G61" s="193">
        <f>SUM(E61*F61)/100</f>
        <v>10164.605</v>
      </c>
      <c r="H61" s="116"/>
      <c r="I61" s="158">
        <v>41054</v>
      </c>
      <c r="J61" s="373">
        <v>210.1</v>
      </c>
      <c r="K61" s="184">
        <f>SUM(E61*J61)/100</f>
        <v>7326.1869999999999</v>
      </c>
      <c r="L61" s="178">
        <f>SUM(G61-K61)</f>
        <v>2838.4179999999997</v>
      </c>
      <c r="M61" s="171">
        <v>1.5668</v>
      </c>
      <c r="N61" s="285">
        <f>SUM(G61-K61)*M61</f>
        <v>4447.2333223999995</v>
      </c>
      <c r="O61" s="116"/>
    </row>
    <row r="62" spans="1:15" s="117" customFormat="1" ht="15" customHeight="1">
      <c r="A62" s="84" t="s">
        <v>755</v>
      </c>
      <c r="B62" s="446" t="s">
        <v>756</v>
      </c>
      <c r="C62" s="80" t="s">
        <v>53</v>
      </c>
      <c r="D62" s="142">
        <v>41047</v>
      </c>
      <c r="E62" s="156">
        <v>1349</v>
      </c>
      <c r="F62" s="157">
        <v>1018</v>
      </c>
      <c r="G62" s="192">
        <f t="shared" si="3"/>
        <v>13732.82</v>
      </c>
      <c r="H62" s="280"/>
      <c r="I62" s="142">
        <v>41061</v>
      </c>
      <c r="J62" s="371">
        <v>971.9</v>
      </c>
      <c r="K62" s="194">
        <f t="shared" si="4"/>
        <v>13110.930999999999</v>
      </c>
      <c r="L62" s="178">
        <f t="shared" si="5"/>
        <v>-621.88900000000103</v>
      </c>
      <c r="M62" s="166">
        <v>1.5403500000000001</v>
      </c>
      <c r="N62" s="285">
        <f>SUM(K62-G62)*M62</f>
        <v>-957.92672115000164</v>
      </c>
      <c r="O62" s="116"/>
    </row>
    <row r="63" spans="1:15" s="117" customFormat="1" ht="15" customHeight="1">
      <c r="A63" s="86" t="s">
        <v>757</v>
      </c>
      <c r="B63" s="457" t="s">
        <v>758</v>
      </c>
      <c r="C63" s="86" t="s">
        <v>78</v>
      </c>
      <c r="D63" s="158">
        <v>41075</v>
      </c>
      <c r="E63" s="159">
        <v>11789</v>
      </c>
      <c r="F63" s="160">
        <v>70.28</v>
      </c>
      <c r="G63" s="193">
        <f>SUM(E63*F63)/100</f>
        <v>8285.3091999999997</v>
      </c>
      <c r="H63" s="116"/>
      <c r="I63" s="158">
        <v>41082</v>
      </c>
      <c r="J63" s="373">
        <v>75.72</v>
      </c>
      <c r="K63" s="184">
        <f>SUM(E63*J63)/100</f>
        <v>8926.630799999999</v>
      </c>
      <c r="L63" s="181">
        <f>SUM(G63-K63)</f>
        <v>-641.32159999999931</v>
      </c>
      <c r="M63" s="171">
        <v>1.5589299999999999</v>
      </c>
      <c r="N63" s="286">
        <f>SUM(G63-K63)*M63</f>
        <v>-999.77548188799892</v>
      </c>
      <c r="O63" s="116"/>
    </row>
    <row r="64" spans="1:15" s="117" customFormat="1" ht="15" customHeight="1">
      <c r="A64" s="86" t="s">
        <v>759</v>
      </c>
      <c r="B64" s="457" t="s">
        <v>760</v>
      </c>
      <c r="C64" s="86" t="s">
        <v>78</v>
      </c>
      <c r="D64" s="158">
        <v>41054</v>
      </c>
      <c r="E64" s="159">
        <v>11890</v>
      </c>
      <c r="F64" s="160">
        <v>78.83</v>
      </c>
      <c r="G64" s="193">
        <f>SUM(E64*F64)/100</f>
        <v>9372.8869999999988</v>
      </c>
      <c r="H64" s="116"/>
      <c r="I64" s="158">
        <v>41117</v>
      </c>
      <c r="J64" s="373">
        <v>78.010000000000005</v>
      </c>
      <c r="K64" s="184">
        <f>SUM(E64*J64)/100</f>
        <v>9275.389000000001</v>
      </c>
      <c r="L64" s="178">
        <f>SUM(G64-K64)</f>
        <v>97.497999999997774</v>
      </c>
      <c r="M64" s="171">
        <v>1.5685100000000001</v>
      </c>
      <c r="N64" s="285">
        <f>SUM(G64-K64)*M64</f>
        <v>152.92658797999653</v>
      </c>
      <c r="O64" s="116"/>
    </row>
    <row r="65" spans="1:15" s="117" customFormat="1" ht="15" customHeight="1">
      <c r="A65" s="84" t="s">
        <v>761</v>
      </c>
      <c r="B65" s="446" t="s">
        <v>406</v>
      </c>
      <c r="C65" s="80" t="s">
        <v>53</v>
      </c>
      <c r="D65" s="142">
        <v>41075</v>
      </c>
      <c r="E65" s="156">
        <v>628</v>
      </c>
      <c r="F65" s="157">
        <v>2141</v>
      </c>
      <c r="G65" s="192">
        <f>SUM(E65*F65)/100</f>
        <v>13445.48</v>
      </c>
      <c r="H65" s="280"/>
      <c r="I65" s="142">
        <v>41117</v>
      </c>
      <c r="J65" s="371">
        <v>2093.3000000000002</v>
      </c>
      <c r="K65" s="194">
        <f>SUM(E65*J65)/100</f>
        <v>13145.924000000001</v>
      </c>
      <c r="L65" s="178">
        <f>SUM(K65-G65)</f>
        <v>-299.55599999999868</v>
      </c>
      <c r="M65" s="166">
        <v>1.5685100000000001</v>
      </c>
      <c r="N65" s="285">
        <f>SUM(K65-G65)*M65</f>
        <v>-469.85658155999795</v>
      </c>
      <c r="O65" s="116"/>
    </row>
    <row r="66" spans="1:15" s="117" customFormat="1" ht="15" customHeight="1">
      <c r="A66" s="86" t="s">
        <v>762</v>
      </c>
      <c r="B66" s="457" t="s">
        <v>763</v>
      </c>
      <c r="C66" s="86" t="s">
        <v>78</v>
      </c>
      <c r="D66" s="158">
        <v>41117</v>
      </c>
      <c r="E66" s="159">
        <v>8059</v>
      </c>
      <c r="F66" s="160">
        <v>90.72</v>
      </c>
      <c r="G66" s="193">
        <f>SUM(E66*F66)/100</f>
        <v>7311.1247999999996</v>
      </c>
      <c r="H66" s="116"/>
      <c r="I66" s="158">
        <v>41117</v>
      </c>
      <c r="J66" s="373">
        <v>98.98</v>
      </c>
      <c r="K66" s="184">
        <f>SUM(E66*J66)/100</f>
        <v>7976.7982000000011</v>
      </c>
      <c r="L66" s="181">
        <f>SUM(G66-K66)</f>
        <v>-665.67340000000149</v>
      </c>
      <c r="M66" s="166">
        <v>1.5685100000000001</v>
      </c>
      <c r="N66" s="286">
        <f>SUM(G66-K66)*M66</f>
        <v>-1044.1153846340023</v>
      </c>
      <c r="O66" s="116"/>
    </row>
    <row r="67" spans="1:15" s="117" customFormat="1" ht="15" customHeight="1">
      <c r="A67" s="86" t="s">
        <v>764</v>
      </c>
      <c r="B67" s="457" t="s">
        <v>765</v>
      </c>
      <c r="C67" s="86" t="s">
        <v>78</v>
      </c>
      <c r="D67" s="158">
        <v>41061</v>
      </c>
      <c r="E67" s="159">
        <v>4263</v>
      </c>
      <c r="F67" s="160">
        <v>261.60000000000002</v>
      </c>
      <c r="G67" s="193">
        <f>SUM(E67*F67)/100</f>
        <v>11152.008</v>
      </c>
      <c r="H67" s="116"/>
      <c r="I67" s="158">
        <v>41131</v>
      </c>
      <c r="J67" s="373">
        <v>217.9</v>
      </c>
      <c r="K67" s="184">
        <f>SUM(E67*J67)/100</f>
        <v>9289.0770000000011</v>
      </c>
      <c r="L67" s="178">
        <f>SUM(G67-K67)</f>
        <v>1862.9309999999987</v>
      </c>
      <c r="M67" s="171">
        <v>1.56389</v>
      </c>
      <c r="N67" s="285">
        <f>SUM(G67-K67)*M67</f>
        <v>2913.4191615899981</v>
      </c>
      <c r="O67" s="116"/>
    </row>
    <row r="68" spans="1:15" s="117" customFormat="1" ht="15" customHeight="1">
      <c r="A68" s="84" t="s">
        <v>766</v>
      </c>
      <c r="B68" s="446" t="s">
        <v>767</v>
      </c>
      <c r="C68" s="80" t="s">
        <v>53</v>
      </c>
      <c r="D68" s="142">
        <v>41082</v>
      </c>
      <c r="E68" s="156">
        <v>2525</v>
      </c>
      <c r="F68" s="157">
        <v>763.8</v>
      </c>
      <c r="G68" s="192">
        <f t="shared" ref="G68:G77" si="7">SUM(E68*F68)/100</f>
        <v>19285.95</v>
      </c>
      <c r="H68" s="280"/>
      <c r="I68" s="142">
        <v>41131</v>
      </c>
      <c r="J68" s="371">
        <v>738.2</v>
      </c>
      <c r="K68" s="194">
        <f t="shared" ref="K68:K77" si="8">SUM(E68*J68)/100</f>
        <v>18639.55</v>
      </c>
      <c r="L68" s="178">
        <f t="shared" ref="L68:L84" si="9">SUM(K68-G68)</f>
        <v>-646.40000000000146</v>
      </c>
      <c r="M68" s="166">
        <v>1.56389</v>
      </c>
      <c r="N68" s="285">
        <f t="shared" ref="N68:N77" si="10">SUM(K68-G68)*M68</f>
        <v>-1010.8984960000023</v>
      </c>
      <c r="O68" s="116"/>
    </row>
    <row r="69" spans="1:15" s="117" customFormat="1" ht="15" customHeight="1">
      <c r="A69" s="84" t="s">
        <v>768</v>
      </c>
      <c r="B69" s="446" t="s">
        <v>769</v>
      </c>
      <c r="C69" s="80" t="s">
        <v>53</v>
      </c>
      <c r="D69" s="142">
        <v>41075</v>
      </c>
      <c r="E69" s="156">
        <v>801</v>
      </c>
      <c r="F69" s="157">
        <v>1829</v>
      </c>
      <c r="G69" s="192">
        <f t="shared" si="7"/>
        <v>14650.29</v>
      </c>
      <c r="H69" s="280"/>
      <c r="I69" s="142">
        <v>41145</v>
      </c>
      <c r="J69" s="371">
        <v>1941</v>
      </c>
      <c r="K69" s="194">
        <f t="shared" si="8"/>
        <v>15547.41</v>
      </c>
      <c r="L69" s="178">
        <f t="shared" si="9"/>
        <v>897.11999999999898</v>
      </c>
      <c r="M69" s="166">
        <v>1.5860300000000001</v>
      </c>
      <c r="N69" s="285">
        <f t="shared" si="10"/>
        <v>1422.8592335999983</v>
      </c>
      <c r="O69" s="116"/>
    </row>
    <row r="70" spans="1:15" s="117" customFormat="1" ht="15" customHeight="1">
      <c r="A70" s="84" t="s">
        <v>735</v>
      </c>
      <c r="B70" s="446" t="s">
        <v>736</v>
      </c>
      <c r="C70" s="80" t="s">
        <v>53</v>
      </c>
      <c r="D70" s="142">
        <v>41127</v>
      </c>
      <c r="E70" s="156">
        <v>2341</v>
      </c>
      <c r="F70" s="157">
        <v>1009.8</v>
      </c>
      <c r="G70" s="192">
        <f t="shared" si="7"/>
        <v>23639.417999999998</v>
      </c>
      <c r="H70" s="280"/>
      <c r="I70" s="142">
        <v>41145</v>
      </c>
      <c r="J70" s="371">
        <v>999.8</v>
      </c>
      <c r="K70" s="194">
        <f t="shared" si="8"/>
        <v>23405.317999999999</v>
      </c>
      <c r="L70" s="178">
        <f t="shared" si="9"/>
        <v>-234.09999999999854</v>
      </c>
      <c r="M70" s="166">
        <v>1.5860300000000001</v>
      </c>
      <c r="N70" s="285">
        <f t="shared" si="10"/>
        <v>-371.28962299999773</v>
      </c>
      <c r="O70" s="116"/>
    </row>
    <row r="71" spans="1:15" s="117" customFormat="1" ht="15" customHeight="1">
      <c r="A71" s="84" t="s">
        <v>770</v>
      </c>
      <c r="B71" s="446" t="s">
        <v>771</v>
      </c>
      <c r="C71" s="80" t="s">
        <v>53</v>
      </c>
      <c r="D71" s="142">
        <v>41075</v>
      </c>
      <c r="E71" s="156">
        <v>572</v>
      </c>
      <c r="F71" s="157">
        <v>3088</v>
      </c>
      <c r="G71" s="192">
        <f t="shared" si="7"/>
        <v>17663.36</v>
      </c>
      <c r="H71" s="280"/>
      <c r="I71" s="142">
        <v>41165</v>
      </c>
      <c r="J71" s="371">
        <v>3468</v>
      </c>
      <c r="K71" s="194">
        <f t="shared" si="8"/>
        <v>19836.96</v>
      </c>
      <c r="L71" s="178">
        <f t="shared" si="9"/>
        <v>2173.5999999999985</v>
      </c>
      <c r="M71" s="166">
        <v>1.61042</v>
      </c>
      <c r="N71" s="285">
        <f t="shared" si="10"/>
        <v>3500.4089119999976</v>
      </c>
      <c r="O71" s="116"/>
    </row>
    <row r="72" spans="1:15" s="117" customFormat="1" ht="15" customHeight="1">
      <c r="A72" s="84" t="s">
        <v>747</v>
      </c>
      <c r="B72" s="446" t="s">
        <v>772</v>
      </c>
      <c r="C72" s="80" t="s">
        <v>53</v>
      </c>
      <c r="D72" s="142">
        <v>41145</v>
      </c>
      <c r="E72" s="156">
        <v>12300</v>
      </c>
      <c r="F72" s="157">
        <v>125.2</v>
      </c>
      <c r="G72" s="192">
        <f t="shared" si="7"/>
        <v>15399.6</v>
      </c>
      <c r="H72" s="280"/>
      <c r="I72" s="142">
        <v>41165</v>
      </c>
      <c r="J72" s="371">
        <v>124.4</v>
      </c>
      <c r="K72" s="194">
        <f t="shared" si="8"/>
        <v>15301.2</v>
      </c>
      <c r="L72" s="178">
        <f t="shared" si="9"/>
        <v>-98.399999999999636</v>
      </c>
      <c r="M72" s="166">
        <v>1.61042</v>
      </c>
      <c r="N72" s="285">
        <f t="shared" si="10"/>
        <v>-158.4653279999994</v>
      </c>
      <c r="O72" s="116"/>
    </row>
    <row r="73" spans="1:15" s="117" customFormat="1" ht="15" customHeight="1">
      <c r="A73" s="84" t="s">
        <v>713</v>
      </c>
      <c r="B73" s="446" t="s">
        <v>714</v>
      </c>
      <c r="C73" s="80" t="s">
        <v>53</v>
      </c>
      <c r="D73" s="142">
        <v>41145</v>
      </c>
      <c r="E73" s="156">
        <v>1566</v>
      </c>
      <c r="F73" s="157">
        <v>1319.5</v>
      </c>
      <c r="G73" s="192">
        <f t="shared" si="7"/>
        <v>20663.37</v>
      </c>
      <c r="H73" s="280"/>
      <c r="I73" s="142">
        <v>41165</v>
      </c>
      <c r="J73" s="371">
        <v>1279</v>
      </c>
      <c r="K73" s="194">
        <f t="shared" si="8"/>
        <v>20029.14</v>
      </c>
      <c r="L73" s="178">
        <f t="shared" si="9"/>
        <v>-634.22999999999956</v>
      </c>
      <c r="M73" s="166">
        <v>1.61042</v>
      </c>
      <c r="N73" s="285">
        <f t="shared" si="10"/>
        <v>-1021.3766765999993</v>
      </c>
      <c r="O73" s="116"/>
    </row>
    <row r="74" spans="1:15" s="117" customFormat="1" ht="15" customHeight="1">
      <c r="A74" s="84" t="s">
        <v>773</v>
      </c>
      <c r="B74" s="446" t="s">
        <v>774</v>
      </c>
      <c r="C74" s="80" t="s">
        <v>53</v>
      </c>
      <c r="D74" s="142">
        <v>41131</v>
      </c>
      <c r="E74" s="156">
        <v>936</v>
      </c>
      <c r="F74" s="157">
        <v>1482</v>
      </c>
      <c r="G74" s="192">
        <f t="shared" si="7"/>
        <v>13871.52</v>
      </c>
      <c r="H74" s="280"/>
      <c r="I74" s="142">
        <v>41180</v>
      </c>
      <c r="J74" s="371">
        <v>1410</v>
      </c>
      <c r="K74" s="194">
        <f t="shared" si="8"/>
        <v>13197.6</v>
      </c>
      <c r="L74" s="178">
        <f t="shared" si="9"/>
        <v>-673.92000000000007</v>
      </c>
      <c r="M74" s="166">
        <v>1.62351</v>
      </c>
      <c r="N74" s="285">
        <f t="shared" si="10"/>
        <v>-1094.1158592000002</v>
      </c>
      <c r="O74" s="116"/>
    </row>
    <row r="75" spans="1:15" s="117" customFormat="1" ht="15" customHeight="1">
      <c r="A75" s="84" t="s">
        <v>775</v>
      </c>
      <c r="B75" s="446" t="s">
        <v>776</v>
      </c>
      <c r="C75" s="80" t="s">
        <v>53</v>
      </c>
      <c r="D75" s="142">
        <v>41131</v>
      </c>
      <c r="E75" s="156">
        <v>2594</v>
      </c>
      <c r="F75" s="157">
        <v>538</v>
      </c>
      <c r="G75" s="192">
        <f t="shared" si="7"/>
        <v>13955.72</v>
      </c>
      <c r="H75" s="280"/>
      <c r="I75" s="142">
        <v>41180</v>
      </c>
      <c r="J75" s="371">
        <v>525.79999999999995</v>
      </c>
      <c r="K75" s="194">
        <f t="shared" si="8"/>
        <v>13639.252</v>
      </c>
      <c r="L75" s="178">
        <f t="shared" si="9"/>
        <v>-316.46799999999894</v>
      </c>
      <c r="M75" s="166">
        <v>1.62351</v>
      </c>
      <c r="N75" s="285">
        <f t="shared" si="10"/>
        <v>-513.78896267999824</v>
      </c>
      <c r="O75" s="116"/>
    </row>
    <row r="76" spans="1:15" s="117" customFormat="1" ht="15" customHeight="1">
      <c r="A76" s="84" t="s">
        <v>777</v>
      </c>
      <c r="B76" s="446" t="s">
        <v>778</v>
      </c>
      <c r="C76" s="80" t="s">
        <v>53</v>
      </c>
      <c r="D76" s="142">
        <v>41159</v>
      </c>
      <c r="E76" s="156">
        <v>5404</v>
      </c>
      <c r="F76" s="157">
        <v>329.7</v>
      </c>
      <c r="G76" s="192">
        <f t="shared" si="7"/>
        <v>17816.988000000001</v>
      </c>
      <c r="H76" s="280"/>
      <c r="I76" s="142">
        <v>41180</v>
      </c>
      <c r="J76" s="371">
        <v>317.7</v>
      </c>
      <c r="K76" s="194">
        <f t="shared" si="8"/>
        <v>17168.508000000002</v>
      </c>
      <c r="L76" s="178">
        <f t="shared" si="9"/>
        <v>-648.47999999999956</v>
      </c>
      <c r="M76" s="166">
        <v>1.62351</v>
      </c>
      <c r="N76" s="285">
        <f t="shared" si="10"/>
        <v>-1052.8137647999993</v>
      </c>
      <c r="O76" s="116"/>
    </row>
    <row r="77" spans="1:15" s="117" customFormat="1" ht="15" customHeight="1">
      <c r="A77" s="84" t="s">
        <v>779</v>
      </c>
      <c r="B77" s="446" t="s">
        <v>780</v>
      </c>
      <c r="C77" s="80" t="s">
        <v>53</v>
      </c>
      <c r="D77" s="142">
        <v>41110</v>
      </c>
      <c r="E77" s="156">
        <v>5357</v>
      </c>
      <c r="F77" s="157">
        <v>403.1</v>
      </c>
      <c r="G77" s="192">
        <f t="shared" si="7"/>
        <v>21594.067000000003</v>
      </c>
      <c r="H77" s="280"/>
      <c r="I77" s="142">
        <v>41187</v>
      </c>
      <c r="J77" s="371">
        <v>418.7</v>
      </c>
      <c r="K77" s="194">
        <f t="shared" si="8"/>
        <v>22429.758999999998</v>
      </c>
      <c r="L77" s="178">
        <f t="shared" si="9"/>
        <v>835.69199999999546</v>
      </c>
      <c r="M77" s="166">
        <v>1.61904</v>
      </c>
      <c r="N77" s="285">
        <f t="shared" si="10"/>
        <v>1353.0187756799926</v>
      </c>
      <c r="O77" s="116"/>
    </row>
    <row r="78" spans="1:15" s="117" customFormat="1" ht="15" customHeight="1">
      <c r="A78" s="86" t="s">
        <v>781</v>
      </c>
      <c r="B78" s="457" t="s">
        <v>782</v>
      </c>
      <c r="C78" s="86" t="s">
        <v>78</v>
      </c>
      <c r="D78" s="158">
        <v>41117</v>
      </c>
      <c r="E78" s="159">
        <v>4687</v>
      </c>
      <c r="F78" s="160">
        <v>72.900000000000006</v>
      </c>
      <c r="G78" s="193">
        <f t="shared" ref="G78:G96" si="11">SUM(E78*F78)/100</f>
        <v>3416.8230000000003</v>
      </c>
      <c r="H78" s="116"/>
      <c r="I78" s="158">
        <v>41191</v>
      </c>
      <c r="J78" s="373">
        <v>69.19</v>
      </c>
      <c r="K78" s="184">
        <f t="shared" ref="K78:K96" si="12">SUM(E78*J78)/100</f>
        <v>3242.9352999999996</v>
      </c>
      <c r="L78" s="178">
        <f>SUM(G78-K78)</f>
        <v>173.88770000000068</v>
      </c>
      <c r="M78" s="171">
        <v>1.6025100000000001</v>
      </c>
      <c r="N78" s="285">
        <f>SUM(G78-K78)*M78</f>
        <v>278.65677812700108</v>
      </c>
      <c r="O78" s="116"/>
    </row>
    <row r="79" spans="1:15" s="117" customFormat="1" ht="15" customHeight="1">
      <c r="A79" s="84" t="s">
        <v>735</v>
      </c>
      <c r="B79" s="446" t="s">
        <v>736</v>
      </c>
      <c r="C79" s="80" t="s">
        <v>53</v>
      </c>
      <c r="D79" s="142">
        <v>41187</v>
      </c>
      <c r="E79" s="156">
        <v>2558</v>
      </c>
      <c r="F79" s="157">
        <v>1056.5</v>
      </c>
      <c r="G79" s="192">
        <f t="shared" si="11"/>
        <v>27025.27</v>
      </c>
      <c r="H79" s="280"/>
      <c r="I79" s="142">
        <v>41194</v>
      </c>
      <c r="J79" s="371">
        <v>1029.5</v>
      </c>
      <c r="K79" s="194">
        <f t="shared" si="12"/>
        <v>26334.61</v>
      </c>
      <c r="L79" s="178">
        <f t="shared" si="9"/>
        <v>-690.65999999999985</v>
      </c>
      <c r="M79" s="166">
        <v>1.6042700000000001</v>
      </c>
      <c r="N79" s="285">
        <f>SUM(K79-G79)*M79</f>
        <v>-1108.0051181999997</v>
      </c>
      <c r="O79" s="116"/>
    </row>
    <row r="80" spans="1:15" s="117" customFormat="1" ht="15" customHeight="1">
      <c r="A80" s="84" t="s">
        <v>783</v>
      </c>
      <c r="B80" s="446" t="s">
        <v>784</v>
      </c>
      <c r="C80" s="80" t="s">
        <v>53</v>
      </c>
      <c r="D80" s="142">
        <v>41165</v>
      </c>
      <c r="E80" s="156">
        <v>5336</v>
      </c>
      <c r="F80" s="157">
        <v>322.3</v>
      </c>
      <c r="G80" s="192">
        <f t="shared" si="11"/>
        <v>17197.928</v>
      </c>
      <c r="H80" s="280"/>
      <c r="I80" s="142">
        <v>41208</v>
      </c>
      <c r="J80" s="371">
        <v>320.49</v>
      </c>
      <c r="K80" s="194">
        <f t="shared" si="12"/>
        <v>17101.346400000002</v>
      </c>
      <c r="L80" s="178">
        <f t="shared" si="9"/>
        <v>-96.581599999997707</v>
      </c>
      <c r="M80" s="166">
        <v>1.6117699999999999</v>
      </c>
      <c r="N80" s="285">
        <f>SUM(K80-G80)*M80</f>
        <v>-155.66732543199629</v>
      </c>
      <c r="O80" s="116"/>
    </row>
    <row r="81" spans="1:16" s="117" customFormat="1" ht="15" customHeight="1">
      <c r="A81" s="86" t="s">
        <v>785</v>
      </c>
      <c r="B81" s="457" t="s">
        <v>786</v>
      </c>
      <c r="C81" s="86" t="s">
        <v>78</v>
      </c>
      <c r="D81" s="158">
        <v>41201</v>
      </c>
      <c r="E81" s="159">
        <v>2931</v>
      </c>
      <c r="F81" s="160">
        <v>622.70000000000005</v>
      </c>
      <c r="G81" s="193">
        <f t="shared" si="11"/>
        <v>18251.337000000003</v>
      </c>
      <c r="H81" s="116"/>
      <c r="I81" s="158">
        <v>41208</v>
      </c>
      <c r="J81" s="373">
        <v>600.70000000000005</v>
      </c>
      <c r="K81" s="184">
        <f t="shared" si="12"/>
        <v>17606.517000000003</v>
      </c>
      <c r="L81" s="178">
        <f>SUM(G81-K81)</f>
        <v>644.81999999999971</v>
      </c>
      <c r="M81" s="171">
        <v>1.6117699999999999</v>
      </c>
      <c r="N81" s="285">
        <f>SUM(G81-K81)*M81</f>
        <v>1039.3015313999995</v>
      </c>
      <c r="O81" s="116"/>
    </row>
    <row r="82" spans="1:16" s="117" customFormat="1" ht="15" customHeight="1">
      <c r="A82" s="84" t="s">
        <v>787</v>
      </c>
      <c r="B82" s="446" t="s">
        <v>788</v>
      </c>
      <c r="C82" s="80" t="s">
        <v>53</v>
      </c>
      <c r="D82" s="142">
        <v>41165</v>
      </c>
      <c r="E82" s="156">
        <v>3288</v>
      </c>
      <c r="F82" s="157">
        <v>478.6</v>
      </c>
      <c r="G82" s="192">
        <f t="shared" si="11"/>
        <v>15736.368</v>
      </c>
      <c r="H82" s="280"/>
      <c r="I82" s="142">
        <v>41215</v>
      </c>
      <c r="J82" s="371">
        <v>461.38</v>
      </c>
      <c r="K82" s="194">
        <f t="shared" si="12"/>
        <v>15170.1744</v>
      </c>
      <c r="L82" s="178">
        <f t="shared" si="9"/>
        <v>-566.19360000000052</v>
      </c>
      <c r="M82" s="166">
        <v>1.6128899999999999</v>
      </c>
      <c r="N82" s="285">
        <f>SUM(K82-G82)*M82</f>
        <v>-913.20799550400079</v>
      </c>
      <c r="O82" s="116"/>
    </row>
    <row r="83" spans="1:16" s="117" customFormat="1" ht="15" customHeight="1">
      <c r="A83" s="84" t="s">
        <v>789</v>
      </c>
      <c r="B83" s="446" t="s">
        <v>790</v>
      </c>
      <c r="C83" s="80" t="s">
        <v>53</v>
      </c>
      <c r="D83" s="142">
        <v>41165</v>
      </c>
      <c r="E83" s="156">
        <v>2959</v>
      </c>
      <c r="F83" s="157">
        <v>641</v>
      </c>
      <c r="G83" s="192">
        <f t="shared" si="11"/>
        <v>18967.189999999999</v>
      </c>
      <c r="H83" s="280"/>
      <c r="I83" s="142">
        <v>41229</v>
      </c>
      <c r="J83" s="371">
        <v>660.87</v>
      </c>
      <c r="K83" s="194">
        <f t="shared" si="12"/>
        <v>19555.1433</v>
      </c>
      <c r="L83" s="178">
        <f t="shared" si="9"/>
        <v>587.95330000000104</v>
      </c>
      <c r="M83" s="166">
        <v>1.5864</v>
      </c>
      <c r="N83" s="285">
        <f>SUM(K83-G83)*M83</f>
        <v>932.72911512000167</v>
      </c>
      <c r="O83" s="116"/>
    </row>
    <row r="84" spans="1:16" s="117" customFormat="1" ht="15" customHeight="1">
      <c r="A84" s="84" t="s">
        <v>791</v>
      </c>
      <c r="B84" s="446" t="s">
        <v>792</v>
      </c>
      <c r="C84" s="80" t="s">
        <v>53</v>
      </c>
      <c r="D84" s="142">
        <v>41180</v>
      </c>
      <c r="E84" s="156">
        <v>1283</v>
      </c>
      <c r="F84" s="157">
        <v>1486</v>
      </c>
      <c r="G84" s="192">
        <f t="shared" si="11"/>
        <v>19065.38</v>
      </c>
      <c r="H84" s="280"/>
      <c r="I84" s="142">
        <v>41229</v>
      </c>
      <c r="J84" s="371">
        <v>1483</v>
      </c>
      <c r="K84" s="194">
        <f t="shared" si="12"/>
        <v>19026.89</v>
      </c>
      <c r="L84" s="178">
        <f t="shared" si="9"/>
        <v>-38.490000000001601</v>
      </c>
      <c r="M84" s="166">
        <v>1.5864</v>
      </c>
      <c r="N84" s="285">
        <f>SUM(K84-G84)*M84</f>
        <v>-61.060536000002543</v>
      </c>
      <c r="O84" s="116"/>
    </row>
    <row r="85" spans="1:16" s="117" customFormat="1" ht="15" customHeight="1">
      <c r="A85" s="86" t="s">
        <v>741</v>
      </c>
      <c r="B85" s="457" t="s">
        <v>742</v>
      </c>
      <c r="C85" s="86" t="s">
        <v>78</v>
      </c>
      <c r="D85" s="158">
        <v>41201</v>
      </c>
      <c r="E85" s="159">
        <v>5374</v>
      </c>
      <c r="F85" s="160">
        <v>441.5</v>
      </c>
      <c r="G85" s="193">
        <f t="shared" si="11"/>
        <v>23726.21</v>
      </c>
      <c r="H85" s="116"/>
      <c r="I85" s="158">
        <v>41229</v>
      </c>
      <c r="J85" s="373">
        <v>429.5</v>
      </c>
      <c r="K85" s="184">
        <f t="shared" si="12"/>
        <v>23081.33</v>
      </c>
      <c r="L85" s="178">
        <f>SUM(G85-K85)</f>
        <v>644.87999999999738</v>
      </c>
      <c r="M85" s="171">
        <v>1.5864</v>
      </c>
      <c r="N85" s="285">
        <f>SUM(G85-K85)*M85</f>
        <v>1023.0376319999958</v>
      </c>
      <c r="O85" s="116"/>
    </row>
    <row r="86" spans="1:16" s="117" customFormat="1" ht="15" customHeight="1">
      <c r="A86" s="86" t="s">
        <v>768</v>
      </c>
      <c r="B86" s="457" t="s">
        <v>769</v>
      </c>
      <c r="C86" s="86" t="s">
        <v>78</v>
      </c>
      <c r="D86" s="158">
        <v>41215</v>
      </c>
      <c r="E86" s="159">
        <v>849</v>
      </c>
      <c r="F86" s="160">
        <v>2074</v>
      </c>
      <c r="G86" s="193">
        <f t="shared" si="11"/>
        <v>17608.259999999998</v>
      </c>
      <c r="H86" s="116"/>
      <c r="I86" s="158">
        <v>41229</v>
      </c>
      <c r="J86" s="373">
        <v>1998</v>
      </c>
      <c r="K86" s="184">
        <f t="shared" si="12"/>
        <v>16963.02</v>
      </c>
      <c r="L86" s="178">
        <f>SUM(G86-K86)</f>
        <v>645.23999999999796</v>
      </c>
      <c r="M86" s="171">
        <v>1.5864</v>
      </c>
      <c r="N86" s="285">
        <f>SUM(G86-K86)*M86</f>
        <v>1023.6087359999968</v>
      </c>
      <c r="O86" s="116"/>
    </row>
    <row r="87" spans="1:16" s="117" customFormat="1" ht="15" customHeight="1">
      <c r="A87" s="84" t="s">
        <v>793</v>
      </c>
      <c r="B87" s="446" t="s">
        <v>794</v>
      </c>
      <c r="C87" s="80" t="s">
        <v>53</v>
      </c>
      <c r="D87" s="142">
        <v>41187</v>
      </c>
      <c r="E87" s="156">
        <v>1972</v>
      </c>
      <c r="F87" s="157">
        <v>843</v>
      </c>
      <c r="G87" s="192">
        <f t="shared" si="11"/>
        <v>16623.96</v>
      </c>
      <c r="H87" s="280"/>
      <c r="I87" s="142">
        <v>41243</v>
      </c>
      <c r="J87" s="371">
        <v>813.62</v>
      </c>
      <c r="K87" s="194">
        <f t="shared" si="12"/>
        <v>16044.586399999998</v>
      </c>
      <c r="L87" s="178">
        <f>SUM(K87-G87)</f>
        <v>-579.37360000000081</v>
      </c>
      <c r="M87" s="166">
        <v>1.60398</v>
      </c>
      <c r="N87" s="285">
        <f>SUM(K87-G87)*M87</f>
        <v>-929.30366692800123</v>
      </c>
      <c r="O87" s="116"/>
    </row>
    <row r="88" spans="1:16" s="117" customFormat="1" ht="15" customHeight="1">
      <c r="A88" s="84" t="s">
        <v>795</v>
      </c>
      <c r="B88" s="446" t="s">
        <v>508</v>
      </c>
      <c r="C88" s="80" t="s">
        <v>53</v>
      </c>
      <c r="D88" s="142">
        <v>41159</v>
      </c>
      <c r="E88" s="156">
        <v>4632</v>
      </c>
      <c r="F88" s="157">
        <v>337</v>
      </c>
      <c r="G88" s="192">
        <f t="shared" si="11"/>
        <v>15609.84</v>
      </c>
      <c r="H88" s="280"/>
      <c r="I88" s="142">
        <v>41257</v>
      </c>
      <c r="J88" s="371">
        <v>376.4</v>
      </c>
      <c r="K88" s="194">
        <f t="shared" si="12"/>
        <v>17434.847999999998</v>
      </c>
      <c r="L88" s="178">
        <f>SUM(K88-G88)</f>
        <v>1825.007999999998</v>
      </c>
      <c r="M88" s="166">
        <v>1.6110599999999999</v>
      </c>
      <c r="N88" s="285">
        <f>SUM(K88-G88)*M88</f>
        <v>2940.1973884799968</v>
      </c>
      <c r="O88" s="116"/>
    </row>
    <row r="89" spans="1:16" s="117" customFormat="1" ht="15" customHeight="1">
      <c r="A89" s="86" t="s">
        <v>706</v>
      </c>
      <c r="B89" s="457" t="s">
        <v>707</v>
      </c>
      <c r="C89" s="86" t="s">
        <v>78</v>
      </c>
      <c r="D89" s="158">
        <v>41187</v>
      </c>
      <c r="E89" s="159">
        <v>901</v>
      </c>
      <c r="F89" s="160">
        <v>2145</v>
      </c>
      <c r="G89" s="193">
        <f t="shared" si="11"/>
        <v>19326.45</v>
      </c>
      <c r="H89" s="116"/>
      <c r="I89" s="158">
        <v>41257</v>
      </c>
      <c r="J89" s="373">
        <v>2127</v>
      </c>
      <c r="K89" s="184">
        <f t="shared" si="12"/>
        <v>19164.27</v>
      </c>
      <c r="L89" s="178">
        <f>SUM(G89-K89)</f>
        <v>162.18000000000029</v>
      </c>
      <c r="M89" s="171">
        <v>1.6110599999999999</v>
      </c>
      <c r="N89" s="285">
        <f>SUM(G89-K89)*M89</f>
        <v>261.28171080000044</v>
      </c>
      <c r="O89" s="116"/>
    </row>
    <row r="90" spans="1:16" s="117" customFormat="1" ht="15" customHeight="1">
      <c r="A90" s="84" t="s">
        <v>796</v>
      </c>
      <c r="B90" s="446" t="s">
        <v>797</v>
      </c>
      <c r="C90" s="80" t="s">
        <v>53</v>
      </c>
      <c r="D90" s="142">
        <v>41215</v>
      </c>
      <c r="E90" s="156">
        <v>11125</v>
      </c>
      <c r="F90" s="157">
        <v>112.65</v>
      </c>
      <c r="G90" s="192">
        <f t="shared" si="11"/>
        <v>12532.3125</v>
      </c>
      <c r="H90" s="280"/>
      <c r="I90" s="142">
        <v>41271</v>
      </c>
      <c r="J90" s="371">
        <v>111.9</v>
      </c>
      <c r="K90" s="194">
        <f t="shared" si="12"/>
        <v>12448.875</v>
      </c>
      <c r="L90" s="178">
        <f>SUM(K90-G90)</f>
        <v>-83.4375</v>
      </c>
      <c r="M90" s="166">
        <v>1.60964</v>
      </c>
      <c r="N90" s="285">
        <f>SUM(K90-G90)*M90</f>
        <v>-134.3043375</v>
      </c>
      <c r="O90" s="116"/>
    </row>
    <row r="91" spans="1:16" s="117" customFormat="1" ht="15" customHeight="1">
      <c r="A91" s="86" t="s">
        <v>717</v>
      </c>
      <c r="B91" s="457" t="s">
        <v>718</v>
      </c>
      <c r="C91" s="86" t="s">
        <v>78</v>
      </c>
      <c r="D91" s="158">
        <v>41264</v>
      </c>
      <c r="E91" s="159">
        <v>2925</v>
      </c>
      <c r="F91" s="160">
        <v>315.70999999999998</v>
      </c>
      <c r="G91" s="193">
        <f t="shared" si="11"/>
        <v>9234.5174999999981</v>
      </c>
      <c r="H91" s="116"/>
      <c r="I91" s="158">
        <v>41271</v>
      </c>
      <c r="J91" s="373">
        <v>337.7</v>
      </c>
      <c r="K91" s="184">
        <f t="shared" si="12"/>
        <v>9877.7250000000004</v>
      </c>
      <c r="L91" s="181">
        <f>SUM(G91-K91)</f>
        <v>-643.20750000000226</v>
      </c>
      <c r="M91" s="171">
        <v>1.60964</v>
      </c>
      <c r="N91" s="286">
        <f>SUM(G91-K91)*M91</f>
        <v>-1035.3325203000036</v>
      </c>
      <c r="O91" s="116"/>
    </row>
    <row r="92" spans="1:16" s="117" customFormat="1" ht="15" customHeight="1">
      <c r="A92" s="84" t="s">
        <v>713</v>
      </c>
      <c r="B92" s="446" t="s">
        <v>714</v>
      </c>
      <c r="C92" s="80" t="s">
        <v>53</v>
      </c>
      <c r="D92" s="142">
        <v>41208</v>
      </c>
      <c r="E92" s="156">
        <v>1695</v>
      </c>
      <c r="F92" s="157">
        <v>1362</v>
      </c>
      <c r="G92" s="192">
        <f t="shared" si="11"/>
        <v>23085.9</v>
      </c>
      <c r="H92" s="280"/>
      <c r="I92" s="142">
        <v>41285</v>
      </c>
      <c r="J92" s="371">
        <v>1524</v>
      </c>
      <c r="K92" s="194">
        <f t="shared" si="12"/>
        <v>25831.8</v>
      </c>
      <c r="L92" s="178">
        <f>SUM(K92-G92)</f>
        <v>2745.8999999999978</v>
      </c>
      <c r="M92" s="166">
        <v>1.61653</v>
      </c>
      <c r="N92" s="285">
        <f>SUM(K92-G92)*M92</f>
        <v>4438.8297269999966</v>
      </c>
      <c r="O92" s="116"/>
    </row>
    <row r="93" spans="1:16" s="117" customFormat="1" ht="15" customHeight="1">
      <c r="A93" s="86" t="s">
        <v>798</v>
      </c>
      <c r="B93" s="457" t="s">
        <v>799</v>
      </c>
      <c r="C93" s="86" t="s">
        <v>78</v>
      </c>
      <c r="D93" s="158">
        <v>41250</v>
      </c>
      <c r="E93" s="159">
        <v>14027</v>
      </c>
      <c r="F93" s="160">
        <v>91.95</v>
      </c>
      <c r="G93" s="193">
        <f t="shared" si="11"/>
        <v>12897.826500000001</v>
      </c>
      <c r="H93" s="116"/>
      <c r="I93" s="158">
        <v>41285</v>
      </c>
      <c r="J93" s="373">
        <v>91.7</v>
      </c>
      <c r="K93" s="184">
        <f t="shared" si="12"/>
        <v>12862.759000000002</v>
      </c>
      <c r="L93" s="178">
        <f>SUM(G93-K93)</f>
        <v>35.0674999999992</v>
      </c>
      <c r="M93" s="171">
        <v>1.61653</v>
      </c>
      <c r="N93" s="285">
        <f>SUM(G93-K93)*M93</f>
        <v>56.687665774998706</v>
      </c>
      <c r="O93" s="116"/>
    </row>
    <row r="94" spans="1:16" s="115" customFormat="1" ht="15" customHeight="1">
      <c r="A94" s="2" t="s">
        <v>935</v>
      </c>
      <c r="B94" s="446" t="s">
        <v>936</v>
      </c>
      <c r="C94" s="84" t="s">
        <v>53</v>
      </c>
      <c r="D94" s="77">
        <v>41302</v>
      </c>
      <c r="E94" s="76">
        <v>4422</v>
      </c>
      <c r="F94" s="148">
        <v>471.2</v>
      </c>
      <c r="G94" s="192">
        <f t="shared" si="11"/>
        <v>20836.464</v>
      </c>
      <c r="H94" s="280"/>
      <c r="I94" s="359">
        <v>41313</v>
      </c>
      <c r="J94" s="330">
        <v>456.3</v>
      </c>
      <c r="K94" s="194">
        <f t="shared" si="12"/>
        <v>20177.585999999999</v>
      </c>
      <c r="L94" s="178">
        <f t="shared" ref="L94:L99" si="13">SUM(K94-G94)</f>
        <v>-658.87800000000061</v>
      </c>
      <c r="M94" s="166">
        <v>1.5712900000000001</v>
      </c>
      <c r="N94" s="285">
        <f t="shared" ref="N94:N99" si="14">SUM(K94-G94)*M94</f>
        <v>-1035.2884126200011</v>
      </c>
      <c r="O94" s="280"/>
      <c r="P94" s="280"/>
    </row>
    <row r="95" spans="1:16" s="115" customFormat="1" ht="15" customHeight="1">
      <c r="A95" s="2" t="s">
        <v>961</v>
      </c>
      <c r="B95" s="446" t="s">
        <v>960</v>
      </c>
      <c r="C95" s="84" t="s">
        <v>53</v>
      </c>
      <c r="D95" s="77">
        <v>41309</v>
      </c>
      <c r="E95" s="76">
        <v>5883</v>
      </c>
      <c r="F95" s="148">
        <v>357.1</v>
      </c>
      <c r="G95" s="192">
        <f t="shared" si="11"/>
        <v>21008.193000000003</v>
      </c>
      <c r="H95" s="280"/>
      <c r="I95" s="359">
        <v>41309</v>
      </c>
      <c r="J95" s="330">
        <v>346.1</v>
      </c>
      <c r="K95" s="194">
        <f t="shared" si="12"/>
        <v>20361.063000000002</v>
      </c>
      <c r="L95" s="178">
        <f t="shared" si="13"/>
        <v>-647.13000000000102</v>
      </c>
      <c r="M95" s="166">
        <v>1.5696699999999999</v>
      </c>
      <c r="N95" s="285">
        <f t="shared" si="14"/>
        <v>-1015.7805471000015</v>
      </c>
      <c r="O95" s="280"/>
      <c r="P95" s="280"/>
    </row>
    <row r="96" spans="1:16" s="117" customFormat="1" ht="15" customHeight="1">
      <c r="A96" s="84" t="s">
        <v>812</v>
      </c>
      <c r="B96" s="617" t="s">
        <v>813</v>
      </c>
      <c r="C96" s="80" t="s">
        <v>53</v>
      </c>
      <c r="D96" s="142">
        <v>41187</v>
      </c>
      <c r="E96" s="156">
        <v>1214</v>
      </c>
      <c r="F96" s="157">
        <v>1776</v>
      </c>
      <c r="G96" s="192">
        <f t="shared" si="11"/>
        <v>21560.639999999999</v>
      </c>
      <c r="H96" s="280"/>
      <c r="I96" s="359">
        <v>41316</v>
      </c>
      <c r="J96" s="371">
        <v>2120</v>
      </c>
      <c r="K96" s="194">
        <f t="shared" si="12"/>
        <v>25736.799999999999</v>
      </c>
      <c r="L96" s="178">
        <f t="shared" si="13"/>
        <v>4176.16</v>
      </c>
      <c r="M96" s="166">
        <v>1.57968</v>
      </c>
      <c r="N96" s="285">
        <f t="shared" si="14"/>
        <v>6596.9964288000001</v>
      </c>
      <c r="O96" s="116"/>
      <c r="P96" s="116"/>
    </row>
    <row r="97" spans="1:16" s="117" customFormat="1" ht="15" customHeight="1">
      <c r="A97" s="84" t="s">
        <v>802</v>
      </c>
      <c r="B97" s="617" t="s">
        <v>803</v>
      </c>
      <c r="C97" s="84" t="s">
        <v>53</v>
      </c>
      <c r="D97" s="142">
        <v>41159</v>
      </c>
      <c r="E97" s="156">
        <v>3413</v>
      </c>
      <c r="F97" s="157">
        <v>330.4</v>
      </c>
      <c r="G97" s="192">
        <f t="shared" ref="G97:G104" si="15">SUM(E97*F97)/100</f>
        <v>11276.552</v>
      </c>
      <c r="H97" s="280"/>
      <c r="I97" s="359">
        <v>41346</v>
      </c>
      <c r="J97" s="371">
        <v>427.1</v>
      </c>
      <c r="K97" s="194">
        <f t="shared" ref="K97:K104" si="16">SUM(E97*J97)/100</f>
        <v>14576.923000000001</v>
      </c>
      <c r="L97" s="178">
        <f t="shared" si="13"/>
        <v>3300.371000000001</v>
      </c>
      <c r="M97" s="166">
        <v>1.4901599999999999</v>
      </c>
      <c r="N97" s="285">
        <f t="shared" si="14"/>
        <v>4918.0808493600016</v>
      </c>
      <c r="O97" s="116"/>
      <c r="P97" s="116"/>
    </row>
    <row r="98" spans="1:16" s="115" customFormat="1" ht="15" customHeight="1">
      <c r="A98" s="2" t="s">
        <v>962</v>
      </c>
      <c r="B98" s="446" t="s">
        <v>959</v>
      </c>
      <c r="C98" s="84" t="s">
        <v>53</v>
      </c>
      <c r="D98" s="77">
        <v>41312</v>
      </c>
      <c r="E98" s="76">
        <v>1632</v>
      </c>
      <c r="F98" s="148">
        <v>817.5</v>
      </c>
      <c r="G98" s="192">
        <f t="shared" si="15"/>
        <v>13341.6</v>
      </c>
      <c r="H98" s="280"/>
      <c r="I98" s="359">
        <v>41319</v>
      </c>
      <c r="J98" s="330">
        <v>787.5</v>
      </c>
      <c r="K98" s="194">
        <f t="shared" si="16"/>
        <v>12852</v>
      </c>
      <c r="L98" s="178">
        <f t="shared" si="13"/>
        <v>-489.60000000000036</v>
      </c>
      <c r="M98" s="166">
        <v>1.55402</v>
      </c>
      <c r="N98" s="285">
        <f t="shared" si="14"/>
        <v>-760.84819200000049</v>
      </c>
      <c r="O98" s="280"/>
      <c r="P98" s="280"/>
    </row>
    <row r="99" spans="1:16" s="117" customFormat="1" ht="15" customHeight="1">
      <c r="A99" s="84" t="s">
        <v>833</v>
      </c>
      <c r="B99" s="617" t="s">
        <v>834</v>
      </c>
      <c r="C99" s="84" t="s">
        <v>53</v>
      </c>
      <c r="D99" s="142">
        <v>41292</v>
      </c>
      <c r="E99" s="156">
        <v>3245</v>
      </c>
      <c r="F99" s="157">
        <v>576.9</v>
      </c>
      <c r="G99" s="192">
        <f t="shared" si="15"/>
        <v>18720.404999999999</v>
      </c>
      <c r="H99" s="280"/>
      <c r="I99" s="359">
        <v>41323</v>
      </c>
      <c r="J99" s="371">
        <v>579.20000000000005</v>
      </c>
      <c r="K99" s="194">
        <f t="shared" si="16"/>
        <v>18795.04</v>
      </c>
      <c r="L99" s="178">
        <f t="shared" si="13"/>
        <v>74.635000000002037</v>
      </c>
      <c r="M99" s="166">
        <v>1.5503499999999999</v>
      </c>
      <c r="N99" s="285">
        <f t="shared" si="14"/>
        <v>115.71037225000315</v>
      </c>
      <c r="O99" s="116"/>
      <c r="P99" s="116"/>
    </row>
    <row r="100" spans="1:16" s="117" customFormat="1" ht="15" customHeight="1">
      <c r="A100" s="84" t="s">
        <v>820</v>
      </c>
      <c r="B100" s="617" t="s">
        <v>821</v>
      </c>
      <c r="C100" s="84" t="s">
        <v>53</v>
      </c>
      <c r="D100" s="142">
        <v>41264</v>
      </c>
      <c r="E100" s="156">
        <v>3214</v>
      </c>
      <c r="F100" s="157">
        <v>564.51</v>
      </c>
      <c r="G100" s="192">
        <f t="shared" si="15"/>
        <v>18143.3514</v>
      </c>
      <c r="H100" s="280"/>
      <c r="I100" s="359">
        <v>41331</v>
      </c>
      <c r="J100" s="371">
        <v>566.79999999999995</v>
      </c>
      <c r="K100" s="194">
        <f t="shared" si="16"/>
        <v>18216.952000000001</v>
      </c>
      <c r="L100" s="178">
        <f t="shared" ref="L100:L106" si="17">SUM(K100-G100)</f>
        <v>73.600600000001577</v>
      </c>
      <c r="M100" s="166">
        <v>1.51627</v>
      </c>
      <c r="N100" s="285">
        <f t="shared" ref="N100:N106" si="18">SUM(K100-G100)*M100</f>
        <v>111.59838176200239</v>
      </c>
      <c r="O100" s="116"/>
      <c r="P100" s="116"/>
    </row>
    <row r="101" spans="1:16" s="115" customFormat="1" ht="15" customHeight="1">
      <c r="A101" s="2" t="s">
        <v>977</v>
      </c>
      <c r="B101" s="446" t="s">
        <v>978</v>
      </c>
      <c r="C101" s="84" t="s">
        <v>53</v>
      </c>
      <c r="D101" s="77">
        <v>41316</v>
      </c>
      <c r="E101" s="76">
        <v>7831</v>
      </c>
      <c r="F101" s="148">
        <v>100.2</v>
      </c>
      <c r="G101" s="192">
        <f t="shared" si="15"/>
        <v>7846.6620000000003</v>
      </c>
      <c r="H101" s="280"/>
      <c r="I101" s="359">
        <v>41332</v>
      </c>
      <c r="J101" s="330">
        <v>95.13</v>
      </c>
      <c r="K101" s="194">
        <f t="shared" si="16"/>
        <v>7449.6302999999989</v>
      </c>
      <c r="L101" s="178">
        <f t="shared" si="17"/>
        <v>-397.03170000000136</v>
      </c>
      <c r="M101" s="166">
        <v>1.5122599999999999</v>
      </c>
      <c r="N101" s="285">
        <f t="shared" si="18"/>
        <v>-600.41515864200198</v>
      </c>
      <c r="O101" s="280"/>
      <c r="P101" s="280"/>
    </row>
    <row r="102" spans="1:16" s="115" customFormat="1" ht="15" customHeight="1">
      <c r="A102" s="2" t="s">
        <v>1049</v>
      </c>
      <c r="B102" s="446" t="s">
        <v>1046</v>
      </c>
      <c r="C102" s="84" t="s">
        <v>53</v>
      </c>
      <c r="D102" s="77">
        <v>41330</v>
      </c>
      <c r="E102" s="76">
        <v>15000</v>
      </c>
      <c r="F102" s="148">
        <v>126.97</v>
      </c>
      <c r="G102" s="192">
        <f t="shared" si="15"/>
        <v>19045.5</v>
      </c>
      <c r="H102" s="280"/>
      <c r="I102" s="359">
        <v>41330</v>
      </c>
      <c r="J102" s="330">
        <v>125.03</v>
      </c>
      <c r="K102" s="194">
        <f t="shared" si="16"/>
        <v>18754.5</v>
      </c>
      <c r="L102" s="178">
        <f t="shared" si="17"/>
        <v>-291</v>
      </c>
      <c r="M102" s="166">
        <v>1.5076499999999999</v>
      </c>
      <c r="N102" s="285">
        <f t="shared" si="18"/>
        <v>-438.72614999999996</v>
      </c>
      <c r="O102" s="280"/>
      <c r="P102" s="280"/>
    </row>
    <row r="103" spans="1:16" s="117" customFormat="1" ht="15" customHeight="1">
      <c r="A103" s="84" t="s">
        <v>704</v>
      </c>
      <c r="B103" s="617" t="s">
        <v>705</v>
      </c>
      <c r="C103" s="84" t="s">
        <v>53</v>
      </c>
      <c r="D103" s="142">
        <v>41180</v>
      </c>
      <c r="E103" s="156">
        <v>26747</v>
      </c>
      <c r="F103" s="157">
        <v>138</v>
      </c>
      <c r="G103" s="192">
        <f t="shared" si="15"/>
        <v>36910.86</v>
      </c>
      <c r="H103" s="280"/>
      <c r="I103" s="359">
        <v>41339</v>
      </c>
      <c r="J103" s="371">
        <v>148</v>
      </c>
      <c r="K103" s="194">
        <f t="shared" si="16"/>
        <v>39585.56</v>
      </c>
      <c r="L103" s="178">
        <f t="shared" si="17"/>
        <v>2674.6999999999971</v>
      </c>
      <c r="M103" s="166">
        <v>1.5124599999999999</v>
      </c>
      <c r="N103" s="285">
        <f t="shared" si="18"/>
        <v>4045.3767619999953</v>
      </c>
      <c r="O103" s="116"/>
      <c r="P103" s="116"/>
    </row>
    <row r="104" spans="1:16" s="117" customFormat="1" ht="15" customHeight="1">
      <c r="A104" s="84" t="s">
        <v>816</v>
      </c>
      <c r="B104" s="617" t="s">
        <v>817</v>
      </c>
      <c r="C104" s="80" t="s">
        <v>53</v>
      </c>
      <c r="D104" s="142">
        <v>41250</v>
      </c>
      <c r="E104" s="156">
        <v>8962</v>
      </c>
      <c r="F104" s="157">
        <v>257.5</v>
      </c>
      <c r="G104" s="192">
        <f t="shared" si="15"/>
        <v>23077.15</v>
      </c>
      <c r="H104" s="280"/>
      <c r="I104" s="359">
        <v>41339</v>
      </c>
      <c r="J104" s="371">
        <v>285.2</v>
      </c>
      <c r="K104" s="194">
        <f t="shared" si="16"/>
        <v>25559.624</v>
      </c>
      <c r="L104" s="178">
        <f t="shared" si="17"/>
        <v>2482.4739999999983</v>
      </c>
      <c r="M104" s="166">
        <v>1.5124599999999999</v>
      </c>
      <c r="N104" s="285">
        <f t="shared" si="18"/>
        <v>3754.6426260399971</v>
      </c>
      <c r="O104" s="116"/>
      <c r="P104" s="116"/>
    </row>
    <row r="105" spans="1:16" s="117" customFormat="1" ht="15" customHeight="1">
      <c r="A105" s="84" t="s">
        <v>822</v>
      </c>
      <c r="B105" s="617" t="s">
        <v>823</v>
      </c>
      <c r="C105" s="84" t="s">
        <v>53</v>
      </c>
      <c r="D105" s="142">
        <v>41264</v>
      </c>
      <c r="E105" s="156">
        <v>21440</v>
      </c>
      <c r="F105" s="157">
        <v>48.79</v>
      </c>
      <c r="G105" s="192">
        <f t="shared" ref="G105:G113" si="19">SUM(E105*F105)/100</f>
        <v>10460.575999999999</v>
      </c>
      <c r="H105" s="280"/>
      <c r="I105" s="359">
        <v>41344</v>
      </c>
      <c r="J105" s="371">
        <v>49.23</v>
      </c>
      <c r="K105" s="194">
        <f t="shared" ref="K105:K113" si="20">SUM(E105*J105)/100</f>
        <v>10554.912</v>
      </c>
      <c r="L105" s="178">
        <f t="shared" si="17"/>
        <v>94.33600000000115</v>
      </c>
      <c r="M105" s="166">
        <v>1.49194</v>
      </c>
      <c r="N105" s="285">
        <f t="shared" si="18"/>
        <v>140.74365184000172</v>
      </c>
      <c r="O105" s="116"/>
      <c r="P105" s="116"/>
    </row>
    <row r="106" spans="1:16" s="115" customFormat="1" ht="15" customHeight="1">
      <c r="A106" s="2" t="s">
        <v>1074</v>
      </c>
      <c r="B106" s="446" t="s">
        <v>1075</v>
      </c>
      <c r="C106" s="84" t="s">
        <v>53</v>
      </c>
      <c r="D106" s="77">
        <v>41338</v>
      </c>
      <c r="E106" s="76">
        <v>24359</v>
      </c>
      <c r="F106" s="148">
        <v>134.1</v>
      </c>
      <c r="G106" s="192">
        <f t="shared" si="19"/>
        <v>32665.418999999998</v>
      </c>
      <c r="H106" s="280"/>
      <c r="I106" s="359">
        <v>41348</v>
      </c>
      <c r="J106" s="330">
        <v>130.9</v>
      </c>
      <c r="K106" s="194">
        <f t="shared" si="20"/>
        <v>31885.931</v>
      </c>
      <c r="L106" s="178">
        <f t="shared" si="17"/>
        <v>-779.48799999999756</v>
      </c>
      <c r="M106" s="166">
        <v>1.5081500000000001</v>
      </c>
      <c r="N106" s="285">
        <f t="shared" si="18"/>
        <v>-1175.5848271999964</v>
      </c>
      <c r="O106" s="280"/>
      <c r="P106" s="280"/>
    </row>
    <row r="107" spans="1:16" s="115" customFormat="1" ht="15" customHeight="1">
      <c r="A107" s="2" t="s">
        <v>1081</v>
      </c>
      <c r="B107" s="446" t="s">
        <v>1080</v>
      </c>
      <c r="C107" s="84" t="s">
        <v>53</v>
      </c>
      <c r="D107" s="77">
        <v>41338</v>
      </c>
      <c r="E107" s="76">
        <v>6163</v>
      </c>
      <c r="F107" s="148">
        <v>300.2</v>
      </c>
      <c r="G107" s="192">
        <f t="shared" si="19"/>
        <v>18501.325999999997</v>
      </c>
      <c r="H107" s="280"/>
      <c r="I107" s="359">
        <v>41352</v>
      </c>
      <c r="J107" s="330">
        <v>290.2</v>
      </c>
      <c r="K107" s="194">
        <f t="shared" si="20"/>
        <v>17885.025999999998</v>
      </c>
      <c r="L107" s="178">
        <f t="shared" ref="L107:L113" si="21">SUM(K107-G107)</f>
        <v>-616.29999999999927</v>
      </c>
      <c r="M107" s="166">
        <v>1.51047</v>
      </c>
      <c r="N107" s="285">
        <f t="shared" ref="N107:N113" si="22">SUM(K107-G107)*M107</f>
        <v>-930.90266099999894</v>
      </c>
      <c r="O107" s="280"/>
      <c r="P107" s="280"/>
    </row>
    <row r="108" spans="1:16" s="115" customFormat="1" ht="15" customHeight="1">
      <c r="A108" s="2" t="s">
        <v>1073</v>
      </c>
      <c r="B108" s="446" t="s">
        <v>1072</v>
      </c>
      <c r="C108" s="84" t="s">
        <v>53</v>
      </c>
      <c r="D108" s="77">
        <v>41337</v>
      </c>
      <c r="E108" s="76">
        <v>4520</v>
      </c>
      <c r="F108" s="148">
        <v>510</v>
      </c>
      <c r="G108" s="192">
        <f t="shared" si="19"/>
        <v>23052</v>
      </c>
      <c r="H108" s="280"/>
      <c r="I108" s="359">
        <v>41352</v>
      </c>
      <c r="J108" s="330">
        <v>495</v>
      </c>
      <c r="K108" s="194">
        <f t="shared" si="20"/>
        <v>22374</v>
      </c>
      <c r="L108" s="178">
        <f t="shared" si="21"/>
        <v>-678</v>
      </c>
      <c r="M108" s="166">
        <v>1.51047</v>
      </c>
      <c r="N108" s="285">
        <f t="shared" si="22"/>
        <v>-1024.0986599999999</v>
      </c>
      <c r="O108" s="280"/>
      <c r="P108" s="280"/>
    </row>
    <row r="109" spans="1:16" s="115" customFormat="1" ht="15" customHeight="1">
      <c r="A109" s="2" t="s">
        <v>1096</v>
      </c>
      <c r="B109" s="446" t="s">
        <v>1097</v>
      </c>
      <c r="C109" s="84" t="s">
        <v>53</v>
      </c>
      <c r="D109" s="77">
        <v>41347</v>
      </c>
      <c r="E109" s="76">
        <v>895</v>
      </c>
      <c r="F109" s="148">
        <v>1472</v>
      </c>
      <c r="G109" s="192">
        <f t="shared" si="19"/>
        <v>13174.4</v>
      </c>
      <c r="H109" s="280"/>
      <c r="I109" s="359">
        <v>41354</v>
      </c>
      <c r="J109" s="330">
        <v>1395</v>
      </c>
      <c r="K109" s="194">
        <f t="shared" si="20"/>
        <v>12485.25</v>
      </c>
      <c r="L109" s="178">
        <f t="shared" si="21"/>
        <v>-689.14999999999964</v>
      </c>
      <c r="M109" s="166">
        <v>1.50976</v>
      </c>
      <c r="N109" s="285">
        <f t="shared" si="22"/>
        <v>-1040.4511039999995</v>
      </c>
      <c r="O109" s="280"/>
      <c r="P109" s="280"/>
    </row>
    <row r="110" spans="1:16" s="115" customFormat="1" ht="15" customHeight="1">
      <c r="A110" s="2" t="s">
        <v>1010</v>
      </c>
      <c r="B110" s="446" t="s">
        <v>1011</v>
      </c>
      <c r="C110" s="84" t="s">
        <v>53</v>
      </c>
      <c r="D110" s="77">
        <v>41324</v>
      </c>
      <c r="E110" s="76">
        <v>4142</v>
      </c>
      <c r="F110" s="148">
        <v>347.7</v>
      </c>
      <c r="G110" s="192">
        <f t="shared" si="19"/>
        <v>14401.733999999999</v>
      </c>
      <c r="H110" s="280"/>
      <c r="I110" s="359">
        <v>41354</v>
      </c>
      <c r="J110" s="330">
        <v>331.5</v>
      </c>
      <c r="K110" s="194">
        <f t="shared" si="20"/>
        <v>13730.73</v>
      </c>
      <c r="L110" s="178">
        <f t="shared" si="21"/>
        <v>-671.003999999999</v>
      </c>
      <c r="M110" s="166">
        <v>1.50976</v>
      </c>
      <c r="N110" s="285">
        <f t="shared" si="22"/>
        <v>-1013.0549990399985</v>
      </c>
      <c r="O110" s="280"/>
      <c r="P110" s="280"/>
    </row>
    <row r="111" spans="1:16" s="115" customFormat="1" ht="15" customHeight="1">
      <c r="A111" s="2" t="s">
        <v>1113</v>
      </c>
      <c r="B111" s="446" t="s">
        <v>1114</v>
      </c>
      <c r="C111" s="84" t="s">
        <v>53</v>
      </c>
      <c r="D111" s="77">
        <v>41355</v>
      </c>
      <c r="E111" s="76">
        <v>1717</v>
      </c>
      <c r="F111" s="148">
        <v>1024</v>
      </c>
      <c r="G111" s="192">
        <f t="shared" si="19"/>
        <v>17582.080000000002</v>
      </c>
      <c r="H111" s="280"/>
      <c r="I111" s="347">
        <v>41360</v>
      </c>
      <c r="J111" s="330">
        <v>984</v>
      </c>
      <c r="K111" s="194">
        <f t="shared" si="20"/>
        <v>16895.28</v>
      </c>
      <c r="L111" s="178">
        <f t="shared" si="21"/>
        <v>-686.80000000000291</v>
      </c>
      <c r="M111" s="166">
        <v>1</v>
      </c>
      <c r="N111" s="285">
        <f t="shared" si="22"/>
        <v>-686.80000000000291</v>
      </c>
      <c r="O111" s="280"/>
      <c r="P111" s="280"/>
    </row>
    <row r="112" spans="1:16" s="117" customFormat="1" ht="15" customHeight="1">
      <c r="A112" s="84" t="s">
        <v>808</v>
      </c>
      <c r="B112" s="617" t="s">
        <v>809</v>
      </c>
      <c r="C112" s="84" t="s">
        <v>53</v>
      </c>
      <c r="D112" s="142">
        <v>41165</v>
      </c>
      <c r="E112" s="156">
        <v>1615</v>
      </c>
      <c r="F112" s="157">
        <v>1190.1500000000001</v>
      </c>
      <c r="G112" s="192">
        <f t="shared" si="19"/>
        <v>19220.922500000001</v>
      </c>
      <c r="H112" s="280"/>
      <c r="I112" s="347">
        <v>41360</v>
      </c>
      <c r="J112" s="371">
        <v>1357</v>
      </c>
      <c r="K112" s="194">
        <f t="shared" si="20"/>
        <v>21915.55</v>
      </c>
      <c r="L112" s="178">
        <f t="shared" si="21"/>
        <v>2694.6274999999987</v>
      </c>
      <c r="M112" s="166">
        <v>1.5376000000000001</v>
      </c>
      <c r="N112" s="285">
        <f t="shared" si="22"/>
        <v>4143.259243999998</v>
      </c>
      <c r="O112" s="366"/>
      <c r="P112" s="116"/>
    </row>
    <row r="113" spans="1:16" s="117" customFormat="1" ht="15" customHeight="1">
      <c r="A113" s="84" t="s">
        <v>804</v>
      </c>
      <c r="B113" s="617" t="s">
        <v>805</v>
      </c>
      <c r="C113" s="84" t="s">
        <v>53</v>
      </c>
      <c r="D113" s="142">
        <v>41159</v>
      </c>
      <c r="E113" s="156">
        <v>15620</v>
      </c>
      <c r="F113" s="157">
        <v>115.45</v>
      </c>
      <c r="G113" s="192">
        <f t="shared" si="19"/>
        <v>18033.29</v>
      </c>
      <c r="H113" s="280"/>
      <c r="I113" s="359">
        <v>41361</v>
      </c>
      <c r="J113" s="371">
        <v>138.19999999999999</v>
      </c>
      <c r="K113" s="194">
        <f t="shared" si="20"/>
        <v>21586.84</v>
      </c>
      <c r="L113" s="178">
        <f t="shared" si="21"/>
        <v>3553.5499999999993</v>
      </c>
      <c r="M113" s="166">
        <v>1.51294</v>
      </c>
      <c r="N113" s="285">
        <f t="shared" si="22"/>
        <v>5376.3079369999987</v>
      </c>
      <c r="O113" s="116"/>
      <c r="P113" s="116"/>
    </row>
    <row r="114" spans="1:16" s="117" customFormat="1" ht="15" customHeight="1">
      <c r="A114" s="84" t="s">
        <v>692</v>
      </c>
      <c r="B114" s="617" t="s">
        <v>693</v>
      </c>
      <c r="C114" s="84" t="s">
        <v>53</v>
      </c>
      <c r="D114" s="142">
        <v>41159</v>
      </c>
      <c r="E114" s="156">
        <v>763</v>
      </c>
      <c r="F114" s="157">
        <v>1883</v>
      </c>
      <c r="G114" s="192">
        <f t="shared" ref="G114:G120" si="23">SUM(E114*F114)/100</f>
        <v>14367.29</v>
      </c>
      <c r="H114" s="280"/>
      <c r="I114" s="359">
        <v>41369</v>
      </c>
      <c r="J114" s="371">
        <v>2146</v>
      </c>
      <c r="K114" s="194">
        <f t="shared" ref="K114:K120" si="24">SUM(E114*J114)/100</f>
        <v>16373.98</v>
      </c>
      <c r="L114" s="178">
        <f t="shared" ref="L114:L120" si="25">SUM(K114-G114)</f>
        <v>2006.6899999999987</v>
      </c>
      <c r="M114" s="166">
        <v>1.5232000000000001</v>
      </c>
      <c r="N114" s="285">
        <f t="shared" ref="N114:N120" si="26">SUM(K114-G114)*M114</f>
        <v>3056.5902079999983</v>
      </c>
      <c r="O114" s="116"/>
      <c r="P114" s="116"/>
    </row>
    <row r="115" spans="1:16" s="117" customFormat="1" ht="15" customHeight="1">
      <c r="A115" s="84" t="s">
        <v>826</v>
      </c>
      <c r="B115" s="617" t="s">
        <v>827</v>
      </c>
      <c r="C115" s="84" t="s">
        <v>53</v>
      </c>
      <c r="D115" s="142">
        <v>41278</v>
      </c>
      <c r="E115" s="156">
        <v>4661</v>
      </c>
      <c r="F115" s="157">
        <v>330.3</v>
      </c>
      <c r="G115" s="192">
        <f t="shared" si="23"/>
        <v>15395.283000000001</v>
      </c>
      <c r="H115" s="280"/>
      <c r="I115" s="359">
        <v>41369</v>
      </c>
      <c r="J115" s="371">
        <v>348.6</v>
      </c>
      <c r="K115" s="194">
        <f t="shared" si="24"/>
        <v>16248.246000000001</v>
      </c>
      <c r="L115" s="178">
        <f t="shared" si="25"/>
        <v>852.96299999999974</v>
      </c>
      <c r="M115" s="166">
        <v>1.5232000000000001</v>
      </c>
      <c r="N115" s="285">
        <f t="shared" si="26"/>
        <v>1299.2332415999997</v>
      </c>
      <c r="O115" s="116"/>
      <c r="P115" s="116"/>
    </row>
    <row r="116" spans="1:16" s="117" customFormat="1" ht="15" customHeight="1">
      <c r="A116" s="84" t="s">
        <v>831</v>
      </c>
      <c r="B116" s="617" t="s">
        <v>832</v>
      </c>
      <c r="C116" s="84" t="s">
        <v>53</v>
      </c>
      <c r="D116" s="142">
        <v>41285</v>
      </c>
      <c r="E116" s="156">
        <v>5021</v>
      </c>
      <c r="F116" s="157">
        <v>535.5</v>
      </c>
      <c r="G116" s="192">
        <f t="shared" si="23"/>
        <v>26887.455000000002</v>
      </c>
      <c r="H116" s="280"/>
      <c r="I116" s="359">
        <v>41369</v>
      </c>
      <c r="J116" s="371">
        <v>571.4</v>
      </c>
      <c r="K116" s="194">
        <f t="shared" si="24"/>
        <v>28689.993999999999</v>
      </c>
      <c r="L116" s="178">
        <f t="shared" si="25"/>
        <v>1802.538999999997</v>
      </c>
      <c r="M116" s="166">
        <v>1.5232000000000001</v>
      </c>
      <c r="N116" s="285">
        <f t="shared" si="26"/>
        <v>2745.6274047999955</v>
      </c>
      <c r="O116" s="116"/>
      <c r="P116" s="116"/>
    </row>
    <row r="117" spans="1:16" s="115" customFormat="1" ht="15" customHeight="1">
      <c r="A117" s="2" t="s">
        <v>743</v>
      </c>
      <c r="B117" s="446" t="s">
        <v>744</v>
      </c>
      <c r="C117" s="84" t="s">
        <v>53</v>
      </c>
      <c r="D117" s="77">
        <v>41302</v>
      </c>
      <c r="E117" s="76">
        <v>5235</v>
      </c>
      <c r="F117" s="148">
        <v>535.6</v>
      </c>
      <c r="G117" s="192">
        <f t="shared" si="23"/>
        <v>28038.66</v>
      </c>
      <c r="H117" s="280"/>
      <c r="I117" s="359">
        <v>41369</v>
      </c>
      <c r="J117" s="330">
        <v>556.6</v>
      </c>
      <c r="K117" s="194">
        <f t="shared" si="24"/>
        <v>29138.01</v>
      </c>
      <c r="L117" s="178">
        <f t="shared" si="25"/>
        <v>1099.3499999999985</v>
      </c>
      <c r="M117" s="166">
        <v>1.5232000000000001</v>
      </c>
      <c r="N117" s="285">
        <f t="shared" si="26"/>
        <v>1674.5299199999979</v>
      </c>
      <c r="O117" s="280"/>
      <c r="P117" s="280"/>
    </row>
    <row r="118" spans="1:16" s="115" customFormat="1" ht="15" customHeight="1">
      <c r="A118" s="2" t="s">
        <v>997</v>
      </c>
      <c r="B118" s="446" t="s">
        <v>998</v>
      </c>
      <c r="C118" s="84" t="s">
        <v>53</v>
      </c>
      <c r="D118" s="77">
        <v>41320</v>
      </c>
      <c r="E118" s="76">
        <v>14123</v>
      </c>
      <c r="F118" s="148">
        <v>94.55</v>
      </c>
      <c r="G118" s="192">
        <f t="shared" si="23"/>
        <v>13353.296499999999</v>
      </c>
      <c r="H118" s="280"/>
      <c r="I118" s="359">
        <v>41369</v>
      </c>
      <c r="J118" s="330">
        <v>92.4</v>
      </c>
      <c r="K118" s="194">
        <f t="shared" si="24"/>
        <v>13049.652000000002</v>
      </c>
      <c r="L118" s="178">
        <f t="shared" si="25"/>
        <v>-303.6444999999967</v>
      </c>
      <c r="M118" s="166">
        <v>1.5232000000000001</v>
      </c>
      <c r="N118" s="285">
        <f t="shared" si="26"/>
        <v>-462.51130239999497</v>
      </c>
      <c r="O118" s="280"/>
      <c r="P118" s="280"/>
    </row>
    <row r="119" spans="1:16" s="115" customFormat="1" ht="15" customHeight="1">
      <c r="A119" s="2" t="s">
        <v>1048</v>
      </c>
      <c r="B119" s="446" t="s">
        <v>1047</v>
      </c>
      <c r="C119" s="84" t="s">
        <v>53</v>
      </c>
      <c r="D119" s="77">
        <v>41330</v>
      </c>
      <c r="E119" s="76">
        <v>3390</v>
      </c>
      <c r="F119" s="148">
        <v>501.8</v>
      </c>
      <c r="G119" s="192">
        <f t="shared" si="23"/>
        <v>17011.02</v>
      </c>
      <c r="H119" s="280"/>
      <c r="I119" s="359">
        <v>41369</v>
      </c>
      <c r="J119" s="330">
        <v>493.4</v>
      </c>
      <c r="K119" s="194">
        <f t="shared" si="24"/>
        <v>16726.259999999998</v>
      </c>
      <c r="L119" s="178">
        <f t="shared" si="25"/>
        <v>-284.76000000000204</v>
      </c>
      <c r="M119" s="166">
        <v>1.5232000000000001</v>
      </c>
      <c r="N119" s="285">
        <f t="shared" si="26"/>
        <v>-433.74643200000315</v>
      </c>
      <c r="O119" s="280"/>
      <c r="P119" s="280"/>
    </row>
    <row r="120" spans="1:16" s="115" customFormat="1" ht="15" customHeight="1">
      <c r="A120" s="2" t="s">
        <v>1108</v>
      </c>
      <c r="B120" s="446" t="s">
        <v>1109</v>
      </c>
      <c r="C120" s="84" t="s">
        <v>53</v>
      </c>
      <c r="D120" s="77">
        <v>41354</v>
      </c>
      <c r="E120" s="76">
        <v>6245</v>
      </c>
      <c r="F120" s="148">
        <v>274.89999999999998</v>
      </c>
      <c r="G120" s="192">
        <f t="shared" si="23"/>
        <v>17167.504999999997</v>
      </c>
      <c r="H120" s="280"/>
      <c r="I120" s="359">
        <v>41369</v>
      </c>
      <c r="J120" s="330">
        <v>263.89999999999998</v>
      </c>
      <c r="K120" s="194">
        <f t="shared" si="24"/>
        <v>16480.554999999997</v>
      </c>
      <c r="L120" s="178">
        <f t="shared" si="25"/>
        <v>-686.95000000000073</v>
      </c>
      <c r="M120" s="166">
        <v>1.5232000000000001</v>
      </c>
      <c r="N120" s="285">
        <f t="shared" si="26"/>
        <v>-1046.3622400000013</v>
      </c>
      <c r="O120" s="280"/>
      <c r="P120" s="280"/>
    </row>
    <row r="121" spans="1:16" s="115" customFormat="1" ht="15" customHeight="1">
      <c r="A121" s="2" t="s">
        <v>733</v>
      </c>
      <c r="B121" s="446" t="s">
        <v>734</v>
      </c>
      <c r="C121" s="84" t="s">
        <v>53</v>
      </c>
      <c r="D121" s="77">
        <v>41320</v>
      </c>
      <c r="E121" s="76">
        <v>3836</v>
      </c>
      <c r="F121" s="148">
        <v>450.7</v>
      </c>
      <c r="G121" s="192">
        <f t="shared" ref="G121:G126" si="27">SUM(E121*F121)/100</f>
        <v>17288.851999999999</v>
      </c>
      <c r="H121" s="280"/>
      <c r="I121" s="359">
        <v>41372</v>
      </c>
      <c r="J121" s="330">
        <v>465.5</v>
      </c>
      <c r="K121" s="194">
        <f t="shared" ref="K121:K126" si="28">SUM(E121*J121)/100</f>
        <v>17856.580000000002</v>
      </c>
      <c r="L121" s="178">
        <f t="shared" ref="L121:L126" si="29">SUM(K121-G121)</f>
        <v>567.72800000000279</v>
      </c>
      <c r="M121" s="166">
        <v>1.53094</v>
      </c>
      <c r="N121" s="285">
        <f t="shared" ref="N121:N126" si="30">SUM(K121-G121)*M121</f>
        <v>869.15750432000425</v>
      </c>
      <c r="O121" s="280"/>
      <c r="P121" s="280"/>
    </row>
    <row r="122" spans="1:16" s="115" customFormat="1" ht="15" customHeight="1">
      <c r="A122" s="2" t="s">
        <v>1078</v>
      </c>
      <c r="B122" s="446" t="s">
        <v>1079</v>
      </c>
      <c r="C122" s="84" t="s">
        <v>53</v>
      </c>
      <c r="D122" s="77">
        <v>41338</v>
      </c>
      <c r="E122" s="76">
        <v>1130</v>
      </c>
      <c r="F122" s="148">
        <v>1235</v>
      </c>
      <c r="G122" s="192">
        <f t="shared" si="27"/>
        <v>13955.5</v>
      </c>
      <c r="H122" s="280"/>
      <c r="I122" s="359">
        <v>41373</v>
      </c>
      <c r="J122" s="330">
        <v>1235</v>
      </c>
      <c r="K122" s="194">
        <f t="shared" si="28"/>
        <v>13955.5</v>
      </c>
      <c r="L122" s="178">
        <f t="shared" si="29"/>
        <v>0</v>
      </c>
      <c r="M122" s="166">
        <v>1.5252399999999999</v>
      </c>
      <c r="N122" s="285">
        <f t="shared" si="30"/>
        <v>0</v>
      </c>
      <c r="O122" s="280"/>
      <c r="P122" s="280"/>
    </row>
    <row r="123" spans="1:16" s="115" customFormat="1" ht="15" customHeight="1">
      <c r="A123" s="2" t="s">
        <v>996</v>
      </c>
      <c r="B123" s="446" t="s">
        <v>999</v>
      </c>
      <c r="C123" s="84" t="s">
        <v>53</v>
      </c>
      <c r="D123" s="77">
        <v>41320</v>
      </c>
      <c r="E123" s="76">
        <v>706</v>
      </c>
      <c r="F123" s="148">
        <v>2551</v>
      </c>
      <c r="G123" s="192">
        <f t="shared" si="27"/>
        <v>18010.060000000001</v>
      </c>
      <c r="H123" s="280"/>
      <c r="I123" s="359">
        <v>41376</v>
      </c>
      <c r="J123" s="330">
        <v>2613</v>
      </c>
      <c r="K123" s="194">
        <f t="shared" si="28"/>
        <v>18447.78</v>
      </c>
      <c r="L123" s="178">
        <f t="shared" si="29"/>
        <v>437.71999999999753</v>
      </c>
      <c r="M123" s="166">
        <v>1.53837</v>
      </c>
      <c r="N123" s="285">
        <f t="shared" si="30"/>
        <v>673.37531639999622</v>
      </c>
      <c r="O123" s="280"/>
      <c r="P123" s="280"/>
    </row>
    <row r="124" spans="1:16" s="117" customFormat="1" ht="15" customHeight="1">
      <c r="A124" s="84" t="s">
        <v>800</v>
      </c>
      <c r="B124" s="617" t="s">
        <v>801</v>
      </c>
      <c r="C124" s="84" t="s">
        <v>53</v>
      </c>
      <c r="D124" s="142">
        <v>41152</v>
      </c>
      <c r="E124" s="156">
        <v>1971</v>
      </c>
      <c r="F124" s="157">
        <v>910</v>
      </c>
      <c r="G124" s="192">
        <f t="shared" si="27"/>
        <v>17936.099999999999</v>
      </c>
      <c r="H124" s="280"/>
      <c r="I124" s="359">
        <v>41383</v>
      </c>
      <c r="J124" s="371">
        <v>1047</v>
      </c>
      <c r="K124" s="194">
        <f t="shared" si="28"/>
        <v>20636.37</v>
      </c>
      <c r="L124" s="178">
        <f t="shared" si="29"/>
        <v>2700.2700000000004</v>
      </c>
      <c r="M124" s="166">
        <v>1.52776</v>
      </c>
      <c r="N124" s="285">
        <f t="shared" si="30"/>
        <v>4125.3644952000004</v>
      </c>
      <c r="O124" s="116"/>
      <c r="P124" s="116"/>
    </row>
    <row r="125" spans="1:16" s="365" customFormat="1" ht="15" customHeight="1">
      <c r="A125" s="364" t="s">
        <v>828</v>
      </c>
      <c r="B125" s="539" t="s">
        <v>829</v>
      </c>
      <c r="C125" s="364" t="s">
        <v>53</v>
      </c>
      <c r="D125" s="353">
        <v>41285</v>
      </c>
      <c r="E125" s="367">
        <v>2119</v>
      </c>
      <c r="F125" s="354">
        <v>790.4</v>
      </c>
      <c r="G125" s="368">
        <f t="shared" si="27"/>
        <v>16748.575999999997</v>
      </c>
      <c r="H125" s="366"/>
      <c r="I125" s="359">
        <v>41383</v>
      </c>
      <c r="J125" s="371">
        <v>840.3</v>
      </c>
      <c r="K125" s="348">
        <f t="shared" si="28"/>
        <v>17805.956999999999</v>
      </c>
      <c r="L125" s="339">
        <f t="shared" si="29"/>
        <v>1057.3810000000012</v>
      </c>
      <c r="M125" s="166">
        <v>1.52776</v>
      </c>
      <c r="N125" s="285">
        <f t="shared" si="30"/>
        <v>1615.4243965600019</v>
      </c>
    </row>
    <row r="126" spans="1:16" s="366" customFormat="1" ht="15" customHeight="1">
      <c r="A126" s="362" t="s">
        <v>958</v>
      </c>
      <c r="B126" s="448" t="s">
        <v>703</v>
      </c>
      <c r="C126" s="364" t="s">
        <v>53</v>
      </c>
      <c r="D126" s="328">
        <v>41311</v>
      </c>
      <c r="E126" s="364">
        <v>2612</v>
      </c>
      <c r="F126" s="330">
        <v>474.4</v>
      </c>
      <c r="G126" s="368">
        <f t="shared" si="27"/>
        <v>12391.328000000001</v>
      </c>
      <c r="I126" s="359">
        <v>41390</v>
      </c>
      <c r="J126" s="330">
        <v>485</v>
      </c>
      <c r="K126" s="348">
        <f t="shared" si="28"/>
        <v>12668.2</v>
      </c>
      <c r="L126" s="339">
        <f t="shared" si="29"/>
        <v>276.87199999999939</v>
      </c>
      <c r="M126" s="166">
        <v>1</v>
      </c>
      <c r="N126" s="285">
        <f t="shared" si="30"/>
        <v>276.87199999999939</v>
      </c>
    </row>
    <row r="127" spans="1:16" s="365" customFormat="1" ht="15" customHeight="1">
      <c r="A127" s="364" t="s">
        <v>806</v>
      </c>
      <c r="B127" s="539" t="s">
        <v>807</v>
      </c>
      <c r="C127" s="364" t="s">
        <v>53</v>
      </c>
      <c r="D127" s="353">
        <v>41159</v>
      </c>
      <c r="E127" s="367">
        <v>527</v>
      </c>
      <c r="F127" s="354">
        <v>3676</v>
      </c>
      <c r="G127" s="368">
        <f t="shared" ref="G127:G139" si="31">SUM(E127*F127)/100</f>
        <v>19372.52</v>
      </c>
      <c r="H127" s="366"/>
      <c r="I127" s="359">
        <v>41432</v>
      </c>
      <c r="J127" s="371">
        <v>4482</v>
      </c>
      <c r="K127" s="348">
        <f t="shared" ref="K127:K139" si="32">SUM(E127*J127)/100</f>
        <v>23620.14</v>
      </c>
      <c r="L127" s="339">
        <f t="shared" ref="L127:L139" si="33">SUM(K127-G127)</f>
        <v>4247.619999999999</v>
      </c>
      <c r="M127" s="166">
        <v>1.5539000000000001</v>
      </c>
      <c r="N127" s="285">
        <f t="shared" ref="N127:N139" si="34">SUM(K127-G127)*M127</f>
        <v>6600.3767179999986</v>
      </c>
      <c r="O127" s="366"/>
    </row>
    <row r="128" spans="1:16" s="365" customFormat="1" ht="15" customHeight="1">
      <c r="A128" s="364" t="s">
        <v>810</v>
      </c>
      <c r="B128" s="539" t="s">
        <v>811</v>
      </c>
      <c r="C128" s="364" t="s">
        <v>53</v>
      </c>
      <c r="D128" s="353">
        <v>41165</v>
      </c>
      <c r="E128" s="367">
        <v>32554</v>
      </c>
      <c r="F128" s="354">
        <v>98.25</v>
      </c>
      <c r="G128" s="368">
        <f t="shared" si="31"/>
        <v>31984.305</v>
      </c>
      <c r="H128" s="366"/>
      <c r="I128" s="359">
        <v>41449</v>
      </c>
      <c r="J128" s="371">
        <v>125.8</v>
      </c>
      <c r="K128" s="348">
        <f t="shared" si="32"/>
        <v>40952.932000000001</v>
      </c>
      <c r="L128" s="339">
        <f t="shared" si="33"/>
        <v>8968.6270000000004</v>
      </c>
      <c r="M128" s="166">
        <v>1.5376000000000001</v>
      </c>
      <c r="N128" s="285">
        <f t="shared" si="34"/>
        <v>13790.160875200001</v>
      </c>
      <c r="O128" s="366"/>
    </row>
    <row r="129" spans="1:26" s="365" customFormat="1" ht="15" customHeight="1">
      <c r="A129" s="364" t="s">
        <v>818</v>
      </c>
      <c r="B129" s="539" t="s">
        <v>819</v>
      </c>
      <c r="C129" s="78" t="s">
        <v>53</v>
      </c>
      <c r="D129" s="353">
        <v>41250</v>
      </c>
      <c r="E129" s="367">
        <v>872</v>
      </c>
      <c r="F129" s="354">
        <v>1626</v>
      </c>
      <c r="G129" s="368">
        <f t="shared" si="31"/>
        <v>14178.72</v>
      </c>
      <c r="H129" s="366"/>
      <c r="I129" s="359">
        <v>41430</v>
      </c>
      <c r="J129" s="371">
        <v>2298</v>
      </c>
      <c r="K129" s="348">
        <f t="shared" si="32"/>
        <v>20038.560000000001</v>
      </c>
      <c r="L129" s="339">
        <f t="shared" si="33"/>
        <v>5859.840000000002</v>
      </c>
      <c r="M129" s="166">
        <v>1.5379</v>
      </c>
      <c r="N129" s="285">
        <f t="shared" si="34"/>
        <v>9011.8479360000038</v>
      </c>
      <c r="O129" s="366"/>
    </row>
    <row r="130" spans="1:26" s="365" customFormat="1" ht="15" customHeight="1">
      <c r="A130" s="364" t="s">
        <v>719</v>
      </c>
      <c r="B130" s="539" t="s">
        <v>720</v>
      </c>
      <c r="C130" s="364" t="s">
        <v>53</v>
      </c>
      <c r="D130" s="353">
        <v>41264</v>
      </c>
      <c r="E130" s="367">
        <v>8040</v>
      </c>
      <c r="F130" s="354">
        <v>382.9</v>
      </c>
      <c r="G130" s="368">
        <f t="shared" si="31"/>
        <v>30785.16</v>
      </c>
      <c r="H130" s="366"/>
      <c r="I130" s="359">
        <v>41430</v>
      </c>
      <c r="J130" s="371">
        <v>441.7</v>
      </c>
      <c r="K130" s="348">
        <f t="shared" si="32"/>
        <v>35512.68</v>
      </c>
      <c r="L130" s="339">
        <f t="shared" si="33"/>
        <v>4727.5200000000004</v>
      </c>
      <c r="M130" s="166">
        <v>1.5512999999999999</v>
      </c>
      <c r="N130" s="285">
        <f t="shared" si="34"/>
        <v>7333.8017760000002</v>
      </c>
      <c r="O130" s="366"/>
    </row>
    <row r="131" spans="1:26" s="365" customFormat="1" ht="15" customHeight="1">
      <c r="A131" s="364" t="s">
        <v>824</v>
      </c>
      <c r="B131" s="539" t="s">
        <v>825</v>
      </c>
      <c r="C131" s="364" t="s">
        <v>53</v>
      </c>
      <c r="D131" s="353">
        <v>41264</v>
      </c>
      <c r="E131" s="367">
        <v>8040</v>
      </c>
      <c r="F131" s="354">
        <v>292</v>
      </c>
      <c r="G131" s="368">
        <f t="shared" si="31"/>
        <v>23476.799999999999</v>
      </c>
      <c r="H131" s="366"/>
      <c r="I131" s="359">
        <v>41431</v>
      </c>
      <c r="J131" s="371">
        <v>333.1</v>
      </c>
      <c r="K131" s="348">
        <f t="shared" si="32"/>
        <v>26781.24</v>
      </c>
      <c r="L131" s="339">
        <f t="shared" si="33"/>
        <v>3304.4400000000023</v>
      </c>
      <c r="M131" s="166">
        <v>1.5512999999999999</v>
      </c>
      <c r="N131" s="285">
        <f t="shared" si="34"/>
        <v>5126.1777720000036</v>
      </c>
      <c r="O131" s="366"/>
    </row>
    <row r="132" spans="1:26" s="365" customFormat="1" ht="15" customHeight="1">
      <c r="A132" s="364" t="s">
        <v>830</v>
      </c>
      <c r="B132" s="539" t="s">
        <v>504</v>
      </c>
      <c r="C132" s="364" t="s">
        <v>53</v>
      </c>
      <c r="D132" s="353">
        <v>41285</v>
      </c>
      <c r="E132" s="367">
        <v>1865</v>
      </c>
      <c r="F132" s="354">
        <v>905</v>
      </c>
      <c r="G132" s="368">
        <f t="shared" si="31"/>
        <v>16878.25</v>
      </c>
      <c r="H132" s="366"/>
      <c r="I132" s="359">
        <v>41418</v>
      </c>
      <c r="J132" s="371">
        <v>999.6</v>
      </c>
      <c r="K132" s="348">
        <f t="shared" si="32"/>
        <v>18642.54</v>
      </c>
      <c r="L132" s="339">
        <f t="shared" si="33"/>
        <v>1764.2900000000009</v>
      </c>
      <c r="M132" s="166">
        <v>1.5206999999999999</v>
      </c>
      <c r="N132" s="285">
        <f t="shared" si="34"/>
        <v>2682.9558030000012</v>
      </c>
      <c r="O132" s="366"/>
    </row>
    <row r="133" spans="1:26" s="365" customFormat="1" ht="15" customHeight="1">
      <c r="A133" s="364" t="s">
        <v>835</v>
      </c>
      <c r="B133" s="539" t="s">
        <v>836</v>
      </c>
      <c r="C133" s="364" t="s">
        <v>53</v>
      </c>
      <c r="D133" s="353">
        <v>41292</v>
      </c>
      <c r="E133" s="367">
        <v>3309</v>
      </c>
      <c r="F133" s="354">
        <v>700</v>
      </c>
      <c r="G133" s="368">
        <f t="shared" si="31"/>
        <v>23163</v>
      </c>
      <c r="H133" s="366"/>
      <c r="I133" s="359">
        <v>41430</v>
      </c>
      <c r="J133" s="371">
        <v>759.5</v>
      </c>
      <c r="K133" s="348">
        <f t="shared" si="32"/>
        <v>25131.855</v>
      </c>
      <c r="L133" s="339">
        <f t="shared" si="33"/>
        <v>1968.8549999999996</v>
      </c>
      <c r="M133" s="166">
        <v>1.5188999999999999</v>
      </c>
      <c r="N133" s="285">
        <f t="shared" si="34"/>
        <v>2990.493859499999</v>
      </c>
      <c r="O133" s="366"/>
    </row>
    <row r="134" spans="1:26" s="365" customFormat="1" ht="15" customHeight="1">
      <c r="A134" s="364" t="s">
        <v>837</v>
      </c>
      <c r="B134" s="539" t="s">
        <v>838</v>
      </c>
      <c r="C134" s="364" t="s">
        <v>53</v>
      </c>
      <c r="D134" s="353">
        <v>41299</v>
      </c>
      <c r="E134" s="367">
        <v>1319</v>
      </c>
      <c r="F134" s="354">
        <v>1228</v>
      </c>
      <c r="G134" s="368">
        <f t="shared" si="31"/>
        <v>16197.32</v>
      </c>
      <c r="H134" s="366"/>
      <c r="I134" s="359">
        <v>41394</v>
      </c>
      <c r="J134" s="371">
        <v>1286</v>
      </c>
      <c r="K134" s="348">
        <f t="shared" si="32"/>
        <v>16962.34</v>
      </c>
      <c r="L134" s="339">
        <f t="shared" si="33"/>
        <v>765.02000000000044</v>
      </c>
      <c r="M134" s="166">
        <v>1.5058</v>
      </c>
      <c r="N134" s="285">
        <f t="shared" si="34"/>
        <v>1151.9671160000007</v>
      </c>
      <c r="O134" s="366"/>
    </row>
    <row r="135" spans="1:26" s="366" customFormat="1" ht="15" customHeight="1">
      <c r="A135" s="362" t="s">
        <v>1044</v>
      </c>
      <c r="B135" s="448" t="s">
        <v>1045</v>
      </c>
      <c r="C135" s="364" t="s">
        <v>53</v>
      </c>
      <c r="D135" s="328">
        <v>41330</v>
      </c>
      <c r="E135" s="364">
        <v>1937</v>
      </c>
      <c r="F135" s="330">
        <v>624</v>
      </c>
      <c r="G135" s="368">
        <f t="shared" si="31"/>
        <v>12086.88</v>
      </c>
      <c r="I135" s="359">
        <v>41424</v>
      </c>
      <c r="J135" s="330">
        <v>706.9</v>
      </c>
      <c r="K135" s="348">
        <f t="shared" si="32"/>
        <v>13692.653</v>
      </c>
      <c r="L135" s="339">
        <f t="shared" si="33"/>
        <v>1605.773000000001</v>
      </c>
      <c r="M135" s="166">
        <v>1.4771000000000001</v>
      </c>
      <c r="N135" s="285">
        <f t="shared" si="34"/>
        <v>2371.8872983000015</v>
      </c>
    </row>
    <row r="136" spans="1:26" s="366" customFormat="1" ht="15" customHeight="1">
      <c r="A136" s="362" t="s">
        <v>1070</v>
      </c>
      <c r="B136" s="448" t="s">
        <v>1071</v>
      </c>
      <c r="C136" s="364" t="s">
        <v>53</v>
      </c>
      <c r="D136" s="328">
        <v>41337</v>
      </c>
      <c r="E136" s="364">
        <v>20954</v>
      </c>
      <c r="F136" s="330">
        <v>129.66</v>
      </c>
      <c r="G136" s="368">
        <f t="shared" si="31"/>
        <v>27168.956400000003</v>
      </c>
      <c r="I136" s="359">
        <v>41396</v>
      </c>
      <c r="J136" s="330">
        <v>131.19999999999999</v>
      </c>
      <c r="K136" s="348">
        <f t="shared" si="32"/>
        <v>27491.647999999997</v>
      </c>
      <c r="L136" s="339">
        <f t="shared" si="33"/>
        <v>322.69159999999465</v>
      </c>
      <c r="M136" s="166">
        <v>1.4833000000000001</v>
      </c>
      <c r="N136" s="285">
        <f t="shared" si="34"/>
        <v>478.64845027999206</v>
      </c>
    </row>
    <row r="137" spans="1:26" s="366" customFormat="1" ht="15" customHeight="1">
      <c r="A137" s="362" t="s">
        <v>1077</v>
      </c>
      <c r="B137" s="448" t="s">
        <v>1076</v>
      </c>
      <c r="C137" s="364" t="s">
        <v>53</v>
      </c>
      <c r="D137" s="328">
        <v>41338</v>
      </c>
      <c r="E137" s="364">
        <v>1093</v>
      </c>
      <c r="F137" s="330">
        <v>1447</v>
      </c>
      <c r="G137" s="368">
        <f t="shared" si="31"/>
        <v>15815.71</v>
      </c>
      <c r="I137" s="359">
        <v>41400</v>
      </c>
      <c r="J137" s="330">
        <v>1447</v>
      </c>
      <c r="K137" s="348">
        <f t="shared" si="32"/>
        <v>15815.71</v>
      </c>
      <c r="L137" s="339">
        <f t="shared" si="33"/>
        <v>0</v>
      </c>
      <c r="M137" s="166">
        <v>1.4730000000000001</v>
      </c>
      <c r="N137" s="285">
        <f t="shared" si="34"/>
        <v>0</v>
      </c>
    </row>
    <row r="138" spans="1:26" s="366" customFormat="1" ht="15" customHeight="1">
      <c r="A138" s="362" t="s">
        <v>1167</v>
      </c>
      <c r="B138" s="448" t="s">
        <v>1168</v>
      </c>
      <c r="C138" s="364" t="s">
        <v>53</v>
      </c>
      <c r="D138" s="328">
        <v>41388</v>
      </c>
      <c r="E138" s="364">
        <v>6393</v>
      </c>
      <c r="F138" s="330">
        <v>566.20000000000005</v>
      </c>
      <c r="G138" s="368">
        <f t="shared" si="31"/>
        <v>36197.165999999997</v>
      </c>
      <c r="I138" s="359">
        <v>41438</v>
      </c>
      <c r="J138" s="330">
        <v>688</v>
      </c>
      <c r="K138" s="348">
        <f t="shared" si="32"/>
        <v>43983.839999999997</v>
      </c>
      <c r="L138" s="339">
        <f t="shared" si="33"/>
        <v>7786.6739999999991</v>
      </c>
      <c r="M138" s="166">
        <v>1.4730000000000001</v>
      </c>
      <c r="N138" s="285">
        <f t="shared" si="34"/>
        <v>11469.770801999999</v>
      </c>
    </row>
    <row r="139" spans="1:26" s="366" customFormat="1" ht="15" customHeight="1">
      <c r="A139" s="362" t="s">
        <v>1171</v>
      </c>
      <c r="B139" s="448" t="s">
        <v>1172</v>
      </c>
      <c r="C139" s="364" t="s">
        <v>53</v>
      </c>
      <c r="D139" s="328">
        <v>41388</v>
      </c>
      <c r="E139" s="364">
        <v>14182</v>
      </c>
      <c r="F139" s="330">
        <v>442.5</v>
      </c>
      <c r="G139" s="368">
        <f t="shared" si="31"/>
        <v>62755.35</v>
      </c>
      <c r="I139" s="359">
        <v>41489</v>
      </c>
      <c r="J139" s="330">
        <v>449.4</v>
      </c>
      <c r="K139" s="348">
        <f t="shared" si="32"/>
        <v>63733.907999999996</v>
      </c>
      <c r="L139" s="339">
        <f t="shared" si="33"/>
        <v>978.55799999999726</v>
      </c>
      <c r="M139" s="166">
        <v>1.4730000000000001</v>
      </c>
      <c r="N139" s="285">
        <f t="shared" si="34"/>
        <v>1441.415933999996</v>
      </c>
    </row>
    <row r="140" spans="1:26" s="366" customFormat="1" ht="15" customHeight="1">
      <c r="A140" s="362" t="s">
        <v>1246</v>
      </c>
      <c r="B140" s="448" t="s">
        <v>1247</v>
      </c>
      <c r="C140" s="364" t="s">
        <v>53</v>
      </c>
      <c r="D140" s="353">
        <v>41414</v>
      </c>
      <c r="E140" s="367">
        <v>1351</v>
      </c>
      <c r="F140" s="330">
        <v>2640</v>
      </c>
      <c r="G140" s="368">
        <f t="shared" ref="G140:G149" si="35">SUM(E140*F140)/100</f>
        <v>35666.400000000001</v>
      </c>
      <c r="H140" s="332"/>
      <c r="I140" s="353">
        <v>41428</v>
      </c>
      <c r="J140" s="364">
        <v>2518</v>
      </c>
      <c r="K140" s="348">
        <f t="shared" ref="K140:K149" si="36">SUM(E140*J140)/100</f>
        <v>34018.18</v>
      </c>
      <c r="L140" s="339">
        <f t="shared" ref="L140:L151" si="37">SUM(K140-G140)</f>
        <v>-1648.2200000000012</v>
      </c>
      <c r="M140" s="166">
        <v>1.5195700000000001</v>
      </c>
      <c r="N140" s="285">
        <f t="shared" ref="N140:N151" si="38">SUM(K140-G140)*M140</f>
        <v>-2504.5856654000017</v>
      </c>
      <c r="O140" s="367"/>
      <c r="P140" s="326" t="s">
        <v>3</v>
      </c>
      <c r="Q140" s="362" t="s">
        <v>3</v>
      </c>
      <c r="R140" s="364"/>
      <c r="S140" s="364"/>
      <c r="T140" s="328"/>
      <c r="U140" s="364"/>
      <c r="V140" s="330"/>
      <c r="W140" s="368"/>
      <c r="Y140" s="332"/>
      <c r="Z140" s="367"/>
    </row>
    <row r="141" spans="1:26" s="366" customFormat="1" ht="15" customHeight="1">
      <c r="A141" s="362" t="s">
        <v>1248</v>
      </c>
      <c r="B141" s="448" t="s">
        <v>1249</v>
      </c>
      <c r="C141" s="364" t="s">
        <v>53</v>
      </c>
      <c r="D141" s="353">
        <v>41415</v>
      </c>
      <c r="E141" s="367">
        <v>1642</v>
      </c>
      <c r="F141" s="330">
        <v>3456</v>
      </c>
      <c r="G141" s="368">
        <f t="shared" si="35"/>
        <v>56747.519999999997</v>
      </c>
      <c r="H141" s="332"/>
      <c r="I141" s="353">
        <v>41430</v>
      </c>
      <c r="J141" s="364">
        <v>3356</v>
      </c>
      <c r="K141" s="348">
        <f t="shared" si="36"/>
        <v>55105.52</v>
      </c>
      <c r="L141" s="339">
        <f t="shared" si="37"/>
        <v>-1642</v>
      </c>
      <c r="M141" s="166">
        <v>1.5310299999999999</v>
      </c>
      <c r="N141" s="285">
        <f t="shared" si="38"/>
        <v>-2513.9512599999998</v>
      </c>
      <c r="O141" s="367"/>
      <c r="P141" s="326" t="s">
        <v>3</v>
      </c>
      <c r="Q141" s="367" t="s">
        <v>3</v>
      </c>
      <c r="R141" s="367"/>
      <c r="S141" s="367"/>
      <c r="T141" s="367"/>
      <c r="U141" s="367"/>
      <c r="V141" s="367"/>
      <c r="W141" s="367"/>
      <c r="X141" s="367"/>
      <c r="Y141" s="367"/>
      <c r="Z141" s="367"/>
    </row>
    <row r="142" spans="1:26" s="366" customFormat="1" ht="15" customHeight="1">
      <c r="A142" s="362" t="s">
        <v>1250</v>
      </c>
      <c r="B142" s="448" t="s">
        <v>760</v>
      </c>
      <c r="C142" s="364" t="s">
        <v>53</v>
      </c>
      <c r="D142" s="353">
        <v>41442</v>
      </c>
      <c r="E142" s="367">
        <v>25473</v>
      </c>
      <c r="F142" s="330">
        <v>138</v>
      </c>
      <c r="G142" s="368">
        <f t="shared" si="35"/>
        <v>35152.74</v>
      </c>
      <c r="H142" s="332"/>
      <c r="I142" s="353">
        <v>41449</v>
      </c>
      <c r="J142" s="364">
        <v>131.6</v>
      </c>
      <c r="K142" s="348">
        <f t="shared" si="36"/>
        <v>33522.468000000001</v>
      </c>
      <c r="L142" s="339">
        <f t="shared" si="37"/>
        <v>-1630.2719999999972</v>
      </c>
      <c r="M142" s="166">
        <v>1.53799</v>
      </c>
      <c r="N142" s="285">
        <f t="shared" si="38"/>
        <v>-2507.3420332799956</v>
      </c>
      <c r="O142" s="367"/>
      <c r="P142" s="326" t="s">
        <v>3</v>
      </c>
      <c r="Q142" s="367" t="s">
        <v>3</v>
      </c>
      <c r="R142" s="367"/>
      <c r="S142" s="367"/>
      <c r="T142" s="367"/>
      <c r="U142" s="367"/>
      <c r="V142" s="367"/>
      <c r="W142" s="367"/>
      <c r="X142" s="367"/>
      <c r="Y142" s="367"/>
      <c r="Z142" s="367"/>
    </row>
    <row r="143" spans="1:26" s="366" customFormat="1" ht="15" customHeight="1">
      <c r="A143" s="362" t="s">
        <v>1251</v>
      </c>
      <c r="B143" s="448" t="s">
        <v>1252</v>
      </c>
      <c r="C143" s="364" t="s">
        <v>53</v>
      </c>
      <c r="D143" s="353">
        <v>41480</v>
      </c>
      <c r="E143" s="367">
        <v>12284</v>
      </c>
      <c r="F143" s="330">
        <v>297.60000000000002</v>
      </c>
      <c r="G143" s="368">
        <f t="shared" si="35"/>
        <v>36557.184000000001</v>
      </c>
      <c r="H143" s="332"/>
      <c r="I143" s="353">
        <v>41492</v>
      </c>
      <c r="J143" s="364">
        <v>284.3</v>
      </c>
      <c r="K143" s="348">
        <f t="shared" si="36"/>
        <v>34923.412000000004</v>
      </c>
      <c r="L143" s="339">
        <f t="shared" si="37"/>
        <v>-1633.7719999999972</v>
      </c>
      <c r="M143" s="166">
        <v>1.53532</v>
      </c>
      <c r="N143" s="285">
        <f t="shared" si="38"/>
        <v>-2508.3628270399959</v>
      </c>
      <c r="O143" s="367"/>
      <c r="P143" s="326" t="s">
        <v>3</v>
      </c>
      <c r="Q143" s="367" t="s">
        <v>3</v>
      </c>
      <c r="R143" s="367"/>
      <c r="S143" s="367"/>
      <c r="T143" s="367"/>
      <c r="U143" s="367"/>
      <c r="V143" s="367"/>
      <c r="W143" s="367"/>
      <c r="X143" s="367"/>
      <c r="Y143" s="367"/>
      <c r="Z143" s="367"/>
    </row>
    <row r="144" spans="1:26" s="366" customFormat="1" ht="15" customHeight="1">
      <c r="A144" s="362" t="s">
        <v>837</v>
      </c>
      <c r="B144" s="448" t="s">
        <v>838</v>
      </c>
      <c r="C144" s="364" t="s">
        <v>53</v>
      </c>
      <c r="D144" s="353">
        <v>41484</v>
      </c>
      <c r="E144" s="367">
        <v>2814</v>
      </c>
      <c r="F144" s="330">
        <v>1407</v>
      </c>
      <c r="G144" s="368">
        <f t="shared" si="35"/>
        <v>39592.980000000003</v>
      </c>
      <c r="H144" s="332"/>
      <c r="I144" s="387">
        <v>41488</v>
      </c>
      <c r="J144" s="364">
        <v>1349</v>
      </c>
      <c r="K144" s="348">
        <f t="shared" si="36"/>
        <v>37960.86</v>
      </c>
      <c r="L144" s="339">
        <f t="shared" si="37"/>
        <v>-1632.1200000000026</v>
      </c>
      <c r="M144" s="166">
        <v>1.5118799999999999</v>
      </c>
      <c r="N144" s="285">
        <f t="shared" si="38"/>
        <v>-2467.5695856000038</v>
      </c>
      <c r="O144" s="367"/>
      <c r="P144" s="326" t="s">
        <v>3</v>
      </c>
      <c r="Q144" s="367" t="s">
        <v>3</v>
      </c>
      <c r="R144" s="367"/>
      <c r="S144" s="367"/>
      <c r="T144" s="367"/>
      <c r="U144" s="367"/>
      <c r="V144" s="367"/>
      <c r="W144" s="367"/>
      <c r="X144" s="367"/>
      <c r="Y144" s="367"/>
      <c r="Z144" s="367"/>
    </row>
    <row r="145" spans="1:16" s="415" customFormat="1" ht="15" customHeight="1">
      <c r="A145" s="404" t="s">
        <v>1304</v>
      </c>
      <c r="B145" s="618" t="s">
        <v>1305</v>
      </c>
      <c r="C145" s="405" t="s">
        <v>53</v>
      </c>
      <c r="D145" s="406">
        <v>41516</v>
      </c>
      <c r="E145" s="407">
        <v>65338</v>
      </c>
      <c r="F145" s="408">
        <v>115.64</v>
      </c>
      <c r="G145" s="409">
        <f t="shared" si="35"/>
        <v>75556.863200000007</v>
      </c>
      <c r="H145" s="410"/>
      <c r="I145" s="416">
        <v>41541</v>
      </c>
      <c r="J145" s="408">
        <v>114.7</v>
      </c>
      <c r="K145" s="411">
        <f t="shared" si="36"/>
        <v>74942.686000000002</v>
      </c>
      <c r="L145" s="412">
        <f t="shared" si="37"/>
        <v>-614.17720000000554</v>
      </c>
      <c r="M145" s="413">
        <v>1.60405</v>
      </c>
      <c r="N145" s="414">
        <f t="shared" si="38"/>
        <v>-985.17093766000892</v>
      </c>
      <c r="O145" s="410"/>
      <c r="P145" s="410"/>
    </row>
    <row r="146" spans="1:16" s="115" customFormat="1" ht="15" customHeight="1">
      <c r="A146" s="327" t="s">
        <v>1325</v>
      </c>
      <c r="B146" s="446" t="s">
        <v>1326</v>
      </c>
      <c r="C146" s="329" t="s">
        <v>53</v>
      </c>
      <c r="D146" s="328">
        <v>41519</v>
      </c>
      <c r="E146" s="364">
        <v>11325</v>
      </c>
      <c r="F146" s="330">
        <v>268.3</v>
      </c>
      <c r="G146" s="368">
        <f t="shared" si="35"/>
        <v>30384.974999999999</v>
      </c>
      <c r="H146" s="366"/>
      <c r="I146" s="312">
        <v>41540</v>
      </c>
      <c r="J146" s="330">
        <v>256.3</v>
      </c>
      <c r="K146" s="348">
        <f t="shared" si="36"/>
        <v>29025.974999999999</v>
      </c>
      <c r="L146" s="339">
        <f t="shared" si="37"/>
        <v>-1359</v>
      </c>
      <c r="M146" s="166">
        <v>1.6004</v>
      </c>
      <c r="N146" s="285">
        <f t="shared" si="38"/>
        <v>-2174.9436000000001</v>
      </c>
      <c r="O146" s="366"/>
      <c r="P146" s="366"/>
    </row>
    <row r="147" spans="1:16" s="115" customFormat="1" ht="15" customHeight="1">
      <c r="A147" s="327" t="s">
        <v>1336</v>
      </c>
      <c r="B147" s="446" t="s">
        <v>1337</v>
      </c>
      <c r="C147" s="329" t="s">
        <v>53</v>
      </c>
      <c r="D147" s="328">
        <v>41527</v>
      </c>
      <c r="E147" s="364">
        <v>1907</v>
      </c>
      <c r="F147" s="330">
        <v>1639</v>
      </c>
      <c r="G147" s="368">
        <f t="shared" si="35"/>
        <v>31255.73</v>
      </c>
      <c r="H147" s="366"/>
      <c r="I147" s="312">
        <v>41544</v>
      </c>
      <c r="J147" s="330">
        <v>1529</v>
      </c>
      <c r="K147" s="348">
        <f t="shared" si="36"/>
        <v>29158.03</v>
      </c>
      <c r="L147" s="339">
        <f t="shared" si="37"/>
        <v>-2097.7000000000007</v>
      </c>
      <c r="M147" s="166">
        <v>1.6039000000000001</v>
      </c>
      <c r="N147" s="285">
        <f t="shared" si="38"/>
        <v>-3364.5010300000013</v>
      </c>
      <c r="O147" s="366"/>
      <c r="P147" s="366"/>
    </row>
    <row r="148" spans="1:16" s="117" customFormat="1" ht="15" customHeight="1">
      <c r="A148" s="84" t="s">
        <v>814</v>
      </c>
      <c r="B148" s="446" t="s">
        <v>815</v>
      </c>
      <c r="C148" s="80" t="s">
        <v>53</v>
      </c>
      <c r="D148" s="328">
        <v>41187</v>
      </c>
      <c r="E148" s="364">
        <v>4104</v>
      </c>
      <c r="F148" s="374">
        <v>556.19000000000005</v>
      </c>
      <c r="G148" s="368">
        <f t="shared" si="35"/>
        <v>22826.037600000003</v>
      </c>
      <c r="H148" s="375"/>
      <c r="I148" s="312">
        <v>41549</v>
      </c>
      <c r="J148" s="371">
        <v>831</v>
      </c>
      <c r="K148" s="348">
        <f t="shared" si="36"/>
        <v>34104.239999999998</v>
      </c>
      <c r="L148" s="339">
        <f t="shared" si="37"/>
        <v>11278.202399999995</v>
      </c>
      <c r="M148" s="166">
        <v>1.6192899999999999</v>
      </c>
      <c r="N148" s="285">
        <f t="shared" si="38"/>
        <v>18262.680364295989</v>
      </c>
      <c r="O148" s="116"/>
      <c r="P148" s="116"/>
    </row>
    <row r="149" spans="1:16" s="115" customFormat="1" ht="15" customHeight="1">
      <c r="A149" s="2" t="s">
        <v>1170</v>
      </c>
      <c r="B149" s="446" t="s">
        <v>1169</v>
      </c>
      <c r="C149" s="84" t="s">
        <v>53</v>
      </c>
      <c r="D149" s="328">
        <v>41387</v>
      </c>
      <c r="E149" s="364">
        <v>13333</v>
      </c>
      <c r="F149" s="330">
        <v>303.3</v>
      </c>
      <c r="G149" s="368">
        <f t="shared" si="35"/>
        <v>40438.989000000001</v>
      </c>
      <c r="H149" s="375"/>
      <c r="I149" s="312">
        <v>41549</v>
      </c>
      <c r="J149" s="330">
        <v>378.9</v>
      </c>
      <c r="K149" s="348">
        <f t="shared" si="36"/>
        <v>50518.736999999994</v>
      </c>
      <c r="L149" s="339">
        <f t="shared" si="37"/>
        <v>10079.747999999992</v>
      </c>
      <c r="M149" s="166">
        <v>1.6192899999999999</v>
      </c>
      <c r="N149" s="285">
        <f t="shared" si="38"/>
        <v>16322.035138919986</v>
      </c>
      <c r="O149" s="280"/>
      <c r="P149" s="280"/>
    </row>
    <row r="150" spans="1:16" s="115" customFormat="1" ht="15" customHeight="1">
      <c r="A150" s="327" t="s">
        <v>1291</v>
      </c>
      <c r="B150" s="506" t="s">
        <v>1097</v>
      </c>
      <c r="C150" s="196" t="s">
        <v>53</v>
      </c>
      <c r="D150" s="197">
        <v>41509</v>
      </c>
      <c r="E150" s="195">
        <v>1755</v>
      </c>
      <c r="F150" s="198">
        <v>1602</v>
      </c>
      <c r="G150" s="368">
        <f t="shared" ref="G150:G156" si="39">SUM(E150*F150)/100</f>
        <v>28115.1</v>
      </c>
      <c r="H150" s="366"/>
      <c r="I150" s="312">
        <v>41556</v>
      </c>
      <c r="J150" s="198">
        <v>1575</v>
      </c>
      <c r="K150" s="348">
        <f t="shared" ref="K150:K156" si="40">SUM(E150*J150)/100</f>
        <v>27641.25</v>
      </c>
      <c r="L150" s="339">
        <f t="shared" si="37"/>
        <v>-473.84999999999854</v>
      </c>
      <c r="M150" s="199">
        <v>1.6081099999999999</v>
      </c>
      <c r="N150" s="285">
        <f t="shared" si="38"/>
        <v>-762.00292349999768</v>
      </c>
      <c r="O150" s="366"/>
      <c r="P150" s="366"/>
    </row>
    <row r="151" spans="1:16" s="115" customFormat="1" ht="15" customHeight="1">
      <c r="A151" s="327" t="s">
        <v>1421</v>
      </c>
      <c r="B151" s="446" t="s">
        <v>1422</v>
      </c>
      <c r="C151" s="329" t="s">
        <v>53</v>
      </c>
      <c r="D151" s="328">
        <v>41563</v>
      </c>
      <c r="E151" s="364">
        <v>3560</v>
      </c>
      <c r="F151" s="330">
        <v>835.5</v>
      </c>
      <c r="G151" s="368">
        <f t="shared" si="39"/>
        <v>29743.8</v>
      </c>
      <c r="H151" s="366"/>
      <c r="I151" s="312">
        <v>793.5</v>
      </c>
      <c r="J151" s="330">
        <v>807</v>
      </c>
      <c r="K151" s="348">
        <f t="shared" si="40"/>
        <v>28729.200000000001</v>
      </c>
      <c r="L151" s="339">
        <f t="shared" si="37"/>
        <v>-1014.5999999999985</v>
      </c>
      <c r="M151" s="199">
        <v>1.6164000000000001</v>
      </c>
      <c r="N151" s="285">
        <f t="shared" si="38"/>
        <v>-1639.9994399999978</v>
      </c>
      <c r="O151" s="366"/>
      <c r="P151" s="366"/>
    </row>
    <row r="152" spans="1:16" s="115" customFormat="1" ht="15" customHeight="1">
      <c r="A152" s="333" t="s">
        <v>725</v>
      </c>
      <c r="B152" s="457" t="s">
        <v>726</v>
      </c>
      <c r="C152" s="324" t="s">
        <v>78</v>
      </c>
      <c r="D152" s="325">
        <v>41549</v>
      </c>
      <c r="E152" s="85">
        <v>1506</v>
      </c>
      <c r="F152" s="331">
        <v>1497</v>
      </c>
      <c r="G152" s="193">
        <f t="shared" si="39"/>
        <v>22544.82</v>
      </c>
      <c r="H152" s="365"/>
      <c r="I152" s="312">
        <v>41575</v>
      </c>
      <c r="J152" s="331">
        <v>1599</v>
      </c>
      <c r="K152" s="343">
        <f t="shared" si="40"/>
        <v>24080.94</v>
      </c>
      <c r="L152" s="341">
        <f>SUM(G152-K152)</f>
        <v>-1536.119999999999</v>
      </c>
      <c r="M152" s="346">
        <v>1.6162000000000001</v>
      </c>
      <c r="N152" s="286">
        <f>SUM(G152-K152)*M152</f>
        <v>-2482.6771439999984</v>
      </c>
      <c r="O152" s="366"/>
      <c r="P152" s="366"/>
    </row>
    <row r="153" spans="1:16" s="115" customFormat="1" ht="15" customHeight="1">
      <c r="A153" s="327" t="s">
        <v>1343</v>
      </c>
      <c r="B153" s="446" t="s">
        <v>1346</v>
      </c>
      <c r="C153" s="329" t="s">
        <v>53</v>
      </c>
      <c r="D153" s="328">
        <v>41535</v>
      </c>
      <c r="E153" s="364">
        <v>7215</v>
      </c>
      <c r="F153" s="330">
        <v>409</v>
      </c>
      <c r="G153" s="368">
        <f t="shared" si="39"/>
        <v>29509.35</v>
      </c>
      <c r="H153" s="366"/>
      <c r="I153" s="312">
        <v>41578</v>
      </c>
      <c r="J153" s="330">
        <v>422.07</v>
      </c>
      <c r="K153" s="348">
        <f t="shared" si="40"/>
        <v>30452.350499999997</v>
      </c>
      <c r="L153" s="339">
        <f t="shared" ref="L153:L160" si="41">SUM(K153-G153)</f>
        <v>943.00049999999828</v>
      </c>
      <c r="M153" s="199">
        <v>1.6035999999999999</v>
      </c>
      <c r="N153" s="285">
        <f t="shared" ref="N153:N160" si="42">SUM(K153-G153)*M153</f>
        <v>1512.1956017999971</v>
      </c>
      <c r="O153" s="366"/>
      <c r="P153" s="366"/>
    </row>
    <row r="154" spans="1:16" s="115" customFormat="1" ht="15" customHeight="1">
      <c r="A154" s="327" t="s">
        <v>818</v>
      </c>
      <c r="B154" s="506" t="s">
        <v>819</v>
      </c>
      <c r="C154" s="196" t="s">
        <v>53</v>
      </c>
      <c r="D154" s="197">
        <v>41575</v>
      </c>
      <c r="E154" s="195">
        <v>1301</v>
      </c>
      <c r="F154" s="198">
        <v>2704</v>
      </c>
      <c r="G154" s="368">
        <f t="shared" si="39"/>
        <v>35179.040000000001</v>
      </c>
      <c r="H154" s="366"/>
      <c r="I154" s="311">
        <v>41578</v>
      </c>
      <c r="J154" s="198">
        <v>2574</v>
      </c>
      <c r="K154" s="348">
        <f t="shared" si="40"/>
        <v>33487.74</v>
      </c>
      <c r="L154" s="339">
        <f t="shared" si="41"/>
        <v>-1691.3000000000029</v>
      </c>
      <c r="M154" s="199">
        <v>1.6035999999999999</v>
      </c>
      <c r="N154" s="285">
        <f t="shared" si="42"/>
        <v>-2712.1686800000043</v>
      </c>
      <c r="O154" s="366"/>
      <c r="P154" s="366"/>
    </row>
    <row r="155" spans="1:16" s="115" customFormat="1" ht="15" customHeight="1">
      <c r="A155" s="327" t="s">
        <v>822</v>
      </c>
      <c r="B155" s="506" t="s">
        <v>823</v>
      </c>
      <c r="C155" s="196" t="s">
        <v>53</v>
      </c>
      <c r="D155" s="197">
        <v>41456</v>
      </c>
      <c r="E155" s="195">
        <v>44814</v>
      </c>
      <c r="F155" s="198">
        <v>64.599999999999994</v>
      </c>
      <c r="G155" s="368">
        <f t="shared" si="39"/>
        <v>28949.843999999997</v>
      </c>
      <c r="H155" s="375"/>
      <c r="I155" s="311">
        <v>41586</v>
      </c>
      <c r="J155" s="198">
        <v>73.239999999999995</v>
      </c>
      <c r="K155" s="348">
        <f t="shared" si="40"/>
        <v>32821.7736</v>
      </c>
      <c r="L155" s="339">
        <f t="shared" si="41"/>
        <v>3871.9296000000031</v>
      </c>
      <c r="M155" s="199">
        <v>1.6164000000000001</v>
      </c>
      <c r="N155" s="285">
        <f t="shared" si="42"/>
        <v>6258.5870054400057</v>
      </c>
      <c r="O155" s="366"/>
      <c r="P155" s="366"/>
    </row>
    <row r="156" spans="1:16" s="115" customFormat="1" ht="15" customHeight="1">
      <c r="A156" s="327" t="s">
        <v>1420</v>
      </c>
      <c r="B156" s="506" t="s">
        <v>1419</v>
      </c>
      <c r="C156" s="196" t="s">
        <v>53</v>
      </c>
      <c r="D156" s="197">
        <v>41561</v>
      </c>
      <c r="E156" s="195">
        <v>1870</v>
      </c>
      <c r="F156" s="198">
        <v>1748</v>
      </c>
      <c r="G156" s="368">
        <f t="shared" si="39"/>
        <v>32687.599999999999</v>
      </c>
      <c r="H156" s="366"/>
      <c r="I156" s="311">
        <v>41591</v>
      </c>
      <c r="J156" s="198">
        <v>1682</v>
      </c>
      <c r="K156" s="348">
        <f t="shared" si="40"/>
        <v>31453.4</v>
      </c>
      <c r="L156" s="339">
        <f t="shared" si="41"/>
        <v>-1234.1999999999971</v>
      </c>
      <c r="M156" s="199">
        <v>1.6164000000000001</v>
      </c>
      <c r="N156" s="285">
        <f t="shared" si="42"/>
        <v>-1994.9608799999953</v>
      </c>
      <c r="O156" s="366"/>
      <c r="P156" s="366"/>
    </row>
    <row r="157" spans="1:16" s="115" customFormat="1" ht="15" customHeight="1">
      <c r="A157" s="556" t="s">
        <v>1417</v>
      </c>
      <c r="B157" s="392" t="s">
        <v>1418</v>
      </c>
      <c r="C157" s="557" t="s">
        <v>53</v>
      </c>
      <c r="D157" s="558">
        <v>41562</v>
      </c>
      <c r="E157" s="559">
        <v>35600</v>
      </c>
      <c r="F157" s="560">
        <v>94.75</v>
      </c>
      <c r="G157" s="561">
        <f>SUM(E157*F157)/100</f>
        <v>33731</v>
      </c>
      <c r="H157" s="562"/>
      <c r="I157" s="606">
        <v>41607</v>
      </c>
      <c r="J157" s="560">
        <v>96</v>
      </c>
      <c r="K157" s="564">
        <f>SUM(E157*J157)/100</f>
        <v>34176</v>
      </c>
      <c r="L157" s="565">
        <f t="shared" si="41"/>
        <v>445</v>
      </c>
      <c r="M157" s="566">
        <v>1.6367</v>
      </c>
      <c r="N157" s="567">
        <f t="shared" si="42"/>
        <v>728.33150000000001</v>
      </c>
      <c r="O157" s="280"/>
      <c r="P157" s="280"/>
    </row>
    <row r="158" spans="1:16" s="115" customFormat="1" ht="15" customHeight="1">
      <c r="A158" s="556" t="s">
        <v>1467</v>
      </c>
      <c r="B158" s="581" t="s">
        <v>1468</v>
      </c>
      <c r="C158" s="582" t="s">
        <v>53</v>
      </c>
      <c r="D158" s="583">
        <v>41591</v>
      </c>
      <c r="E158" s="584">
        <v>17278</v>
      </c>
      <c r="F158" s="585">
        <v>408.2</v>
      </c>
      <c r="G158" s="561">
        <f>SUM(E158*F158)/100</f>
        <v>70528.796000000002</v>
      </c>
      <c r="H158" s="562"/>
      <c r="I158" s="607">
        <v>41610</v>
      </c>
      <c r="J158" s="585">
        <v>394.4</v>
      </c>
      <c r="K158" s="564">
        <f>SUM(E158*J158)/100</f>
        <v>68144.431999999986</v>
      </c>
      <c r="L158" s="565">
        <f t="shared" si="41"/>
        <v>-2384.3640000000159</v>
      </c>
      <c r="M158" s="566">
        <v>1.6367</v>
      </c>
      <c r="N158" s="567">
        <f t="shared" si="42"/>
        <v>-3902.4885588000261</v>
      </c>
      <c r="O158" s="366"/>
      <c r="P158" s="366"/>
    </row>
    <row r="159" spans="1:16" s="115" customFormat="1" ht="15" customHeight="1">
      <c r="A159" s="556" t="s">
        <v>1431</v>
      </c>
      <c r="B159" s="392" t="s">
        <v>809</v>
      </c>
      <c r="C159" s="557" t="s">
        <v>53</v>
      </c>
      <c r="D159" s="558">
        <v>41568</v>
      </c>
      <c r="E159" s="559">
        <v>3918</v>
      </c>
      <c r="F159" s="560">
        <v>1544</v>
      </c>
      <c r="G159" s="561">
        <f>SUM(E159*F159)/100</f>
        <v>60493.919999999998</v>
      </c>
      <c r="H159" s="562"/>
      <c r="I159" s="606">
        <v>41611</v>
      </c>
      <c r="J159" s="560">
        <v>1502</v>
      </c>
      <c r="K159" s="564">
        <f>SUM(E159*J159)/100</f>
        <v>58848.36</v>
      </c>
      <c r="L159" s="565">
        <f t="shared" si="41"/>
        <v>-1645.5599999999977</v>
      </c>
      <c r="M159" s="566">
        <v>1.6367</v>
      </c>
      <c r="N159" s="567">
        <f t="shared" si="42"/>
        <v>-2693.2880519999962</v>
      </c>
      <c r="O159" s="366"/>
      <c r="P159" s="366"/>
    </row>
    <row r="160" spans="1:16" s="115" customFormat="1" ht="15" customHeight="1">
      <c r="A160" s="556" t="s">
        <v>1323</v>
      </c>
      <c r="B160" s="392" t="s">
        <v>1324</v>
      </c>
      <c r="C160" s="557" t="s">
        <v>53</v>
      </c>
      <c r="D160" s="558">
        <v>41523</v>
      </c>
      <c r="E160" s="559">
        <v>9707</v>
      </c>
      <c r="F160" s="560">
        <v>226.28</v>
      </c>
      <c r="G160" s="561">
        <f>SUM(E160*F160)/100</f>
        <v>21964.999599999999</v>
      </c>
      <c r="H160" s="562"/>
      <c r="I160" s="606">
        <v>41612</v>
      </c>
      <c r="J160" s="560">
        <v>241.2</v>
      </c>
      <c r="K160" s="564">
        <f>SUM(E160*J160)/100</f>
        <v>23413.284</v>
      </c>
      <c r="L160" s="565">
        <f t="shared" si="41"/>
        <v>1448.2844000000005</v>
      </c>
      <c r="M160" s="566">
        <v>1.6367</v>
      </c>
      <c r="N160" s="567">
        <f t="shared" si="42"/>
        <v>2370.4070774800007</v>
      </c>
      <c r="O160" s="366"/>
      <c r="P160" s="366"/>
    </row>
    <row r="161" spans="1:26" s="115" customFormat="1" ht="15" customHeight="1">
      <c r="A161" s="556" t="s">
        <v>1490</v>
      </c>
      <c r="B161" s="581" t="s">
        <v>1491</v>
      </c>
      <c r="C161" s="582" t="s">
        <v>53</v>
      </c>
      <c r="D161" s="583">
        <v>41603</v>
      </c>
      <c r="E161" s="584">
        <v>8332</v>
      </c>
      <c r="F161" s="585">
        <v>927</v>
      </c>
      <c r="G161" s="561">
        <f t="shared" ref="G161:G170" si="43">SUM(E161*F161)/100</f>
        <v>77237.64</v>
      </c>
      <c r="H161" s="562"/>
      <c r="I161" s="607">
        <v>41620</v>
      </c>
      <c r="J161" s="585">
        <v>905.5</v>
      </c>
      <c r="K161" s="564">
        <f t="shared" ref="K161:K170" si="44">SUM(E161*J161)/100</f>
        <v>75446.259999999995</v>
      </c>
      <c r="L161" s="565">
        <f t="shared" ref="L161:L170" si="45">SUM(K161-G161)</f>
        <v>-1791.3800000000047</v>
      </c>
      <c r="M161" s="566">
        <v>1.6367</v>
      </c>
      <c r="N161" s="567">
        <f t="shared" ref="N161:N170" si="46">SUM(K161-G161)*M161</f>
        <v>-2931.9516460000077</v>
      </c>
      <c r="O161" s="366"/>
      <c r="P161" s="366"/>
    </row>
    <row r="162" spans="1:26" s="115" customFormat="1" ht="15" customHeight="1">
      <c r="A162" s="556" t="s">
        <v>1425</v>
      </c>
      <c r="B162" s="392" t="s">
        <v>1426</v>
      </c>
      <c r="C162" s="557" t="s">
        <v>53</v>
      </c>
      <c r="D162" s="558">
        <v>41563</v>
      </c>
      <c r="E162" s="559">
        <v>3323</v>
      </c>
      <c r="F162" s="560">
        <v>1178.7</v>
      </c>
      <c r="G162" s="561">
        <f t="shared" si="43"/>
        <v>39168.201000000001</v>
      </c>
      <c r="H162" s="562"/>
      <c r="I162" s="606">
        <v>41620</v>
      </c>
      <c r="J162" s="560">
        <v>1210</v>
      </c>
      <c r="K162" s="564">
        <f t="shared" si="44"/>
        <v>40208.300000000003</v>
      </c>
      <c r="L162" s="565">
        <f t="shared" si="45"/>
        <v>1040.099000000002</v>
      </c>
      <c r="M162" s="566">
        <v>1.6367</v>
      </c>
      <c r="N162" s="567">
        <f t="shared" si="46"/>
        <v>1702.3300333000034</v>
      </c>
      <c r="O162" s="366"/>
      <c r="P162" s="366"/>
    </row>
    <row r="163" spans="1:26" s="115" customFormat="1" ht="15" customHeight="1">
      <c r="A163" s="556" t="s">
        <v>1338</v>
      </c>
      <c r="B163" s="392" t="s">
        <v>832</v>
      </c>
      <c r="C163" s="557" t="s">
        <v>53</v>
      </c>
      <c r="D163" s="558">
        <v>41527</v>
      </c>
      <c r="E163" s="559">
        <v>13111</v>
      </c>
      <c r="F163" s="560">
        <v>608</v>
      </c>
      <c r="G163" s="561">
        <f t="shared" si="43"/>
        <v>79714.880000000005</v>
      </c>
      <c r="H163" s="562"/>
      <c r="I163" s="606">
        <v>41624</v>
      </c>
      <c r="J163" s="560">
        <v>668</v>
      </c>
      <c r="K163" s="564">
        <f t="shared" si="44"/>
        <v>87581.48</v>
      </c>
      <c r="L163" s="565">
        <f t="shared" si="45"/>
        <v>7866.5999999999913</v>
      </c>
      <c r="M163" s="566">
        <v>1.6367</v>
      </c>
      <c r="N163" s="567">
        <f t="shared" si="46"/>
        <v>12875.264219999986</v>
      </c>
      <c r="O163" s="366"/>
      <c r="P163" s="366"/>
      <c r="Q163" s="166" t="s">
        <v>3</v>
      </c>
    </row>
    <row r="164" spans="1:26" s="115" customFormat="1" ht="15" customHeight="1">
      <c r="A164" s="556" t="s">
        <v>1432</v>
      </c>
      <c r="B164" s="554" t="s">
        <v>1433</v>
      </c>
      <c r="C164" s="557" t="s">
        <v>53</v>
      </c>
      <c r="D164" s="558">
        <v>41568</v>
      </c>
      <c r="E164" s="559">
        <v>20572</v>
      </c>
      <c r="F164" s="560">
        <v>131.1</v>
      </c>
      <c r="G164" s="561">
        <f t="shared" si="43"/>
        <v>26969.891999999996</v>
      </c>
      <c r="H164" s="562"/>
      <c r="I164" s="606">
        <v>41659</v>
      </c>
      <c r="J164" s="560">
        <v>130.88999999999999</v>
      </c>
      <c r="K164" s="564">
        <f t="shared" si="44"/>
        <v>26926.690799999997</v>
      </c>
      <c r="L164" s="565">
        <f t="shared" si="45"/>
        <v>-43.201199999999517</v>
      </c>
      <c r="M164" s="566">
        <v>1.6367</v>
      </c>
      <c r="N164" s="567">
        <f t="shared" si="46"/>
        <v>-70.707404039999204</v>
      </c>
      <c r="O164" s="366"/>
      <c r="P164" s="366"/>
    </row>
    <row r="165" spans="1:26" s="115" customFormat="1" ht="15" customHeight="1">
      <c r="A165" s="556" t="s">
        <v>1557</v>
      </c>
      <c r="B165" s="555" t="s">
        <v>742</v>
      </c>
      <c r="C165" s="582" t="s">
        <v>53</v>
      </c>
      <c r="D165" s="583">
        <v>41655</v>
      </c>
      <c r="E165" s="584">
        <v>20235</v>
      </c>
      <c r="F165" s="585">
        <v>596.5</v>
      </c>
      <c r="G165" s="561">
        <f t="shared" si="43"/>
        <v>120701.77499999999</v>
      </c>
      <c r="H165" s="562"/>
      <c r="I165" s="607">
        <v>41662</v>
      </c>
      <c r="J165" s="585">
        <v>579.5</v>
      </c>
      <c r="K165" s="564">
        <f t="shared" si="44"/>
        <v>117261.825</v>
      </c>
      <c r="L165" s="565">
        <f t="shared" si="45"/>
        <v>-3439.9499999999971</v>
      </c>
      <c r="M165" s="566">
        <v>1.6473</v>
      </c>
      <c r="N165" s="567">
        <f t="shared" si="46"/>
        <v>-5666.6296349999948</v>
      </c>
      <c r="O165" s="366"/>
      <c r="P165" s="366"/>
    </row>
    <row r="166" spans="1:26" s="115" customFormat="1" ht="15" customHeight="1">
      <c r="A166" s="556" t="s">
        <v>1559</v>
      </c>
      <c r="B166" s="555" t="s">
        <v>1558</v>
      </c>
      <c r="C166" s="582" t="s">
        <v>53</v>
      </c>
      <c r="D166" s="583">
        <v>41654</v>
      </c>
      <c r="E166" s="584">
        <v>43000</v>
      </c>
      <c r="F166" s="585">
        <v>382.9</v>
      </c>
      <c r="G166" s="561">
        <f t="shared" si="43"/>
        <v>164646.99999999997</v>
      </c>
      <c r="H166" s="562"/>
      <c r="I166" s="607">
        <v>41663</v>
      </c>
      <c r="J166" s="585">
        <v>374.9</v>
      </c>
      <c r="K166" s="564">
        <f t="shared" si="44"/>
        <v>161206.99999999997</v>
      </c>
      <c r="L166" s="565">
        <f t="shared" si="45"/>
        <v>-3440</v>
      </c>
      <c r="M166" s="566">
        <v>1.6473</v>
      </c>
      <c r="N166" s="567">
        <f t="shared" si="46"/>
        <v>-5666.7119999999995</v>
      </c>
      <c r="O166" s="366"/>
      <c r="P166" s="366"/>
    </row>
    <row r="167" spans="1:26" s="115" customFormat="1" ht="15" customHeight="1">
      <c r="A167" s="556" t="s">
        <v>1552</v>
      </c>
      <c r="B167" s="555" t="s">
        <v>1554</v>
      </c>
      <c r="C167" s="582" t="s">
        <v>53</v>
      </c>
      <c r="D167" s="583">
        <v>41649</v>
      </c>
      <c r="E167" s="584">
        <v>18117</v>
      </c>
      <c r="F167" s="585">
        <v>544</v>
      </c>
      <c r="G167" s="561">
        <f t="shared" si="43"/>
        <v>98556.479999999996</v>
      </c>
      <c r="H167" s="562"/>
      <c r="I167" s="607">
        <v>41663</v>
      </c>
      <c r="J167" s="585">
        <v>527</v>
      </c>
      <c r="K167" s="564">
        <f t="shared" si="44"/>
        <v>95476.59</v>
      </c>
      <c r="L167" s="565">
        <f t="shared" si="45"/>
        <v>-3079.8899999999994</v>
      </c>
      <c r="M167" s="566">
        <v>1.6473</v>
      </c>
      <c r="N167" s="567">
        <f t="shared" si="46"/>
        <v>-5073.5027969999992</v>
      </c>
      <c r="O167" s="366"/>
      <c r="P167" s="366"/>
    </row>
    <row r="168" spans="1:26" s="115" customFormat="1" ht="15" customHeight="1">
      <c r="A168" s="556" t="s">
        <v>1382</v>
      </c>
      <c r="B168" s="554" t="s">
        <v>1383</v>
      </c>
      <c r="C168" s="557" t="s">
        <v>53</v>
      </c>
      <c r="D168" s="558">
        <v>41557</v>
      </c>
      <c r="E168" s="559">
        <v>55257</v>
      </c>
      <c r="F168" s="560">
        <v>101.27</v>
      </c>
      <c r="G168" s="561">
        <f t="shared" si="43"/>
        <v>55958.763899999998</v>
      </c>
      <c r="H168" s="562"/>
      <c r="I168" s="606">
        <v>41666</v>
      </c>
      <c r="J168" s="560">
        <v>101.89</v>
      </c>
      <c r="K168" s="564">
        <f t="shared" si="44"/>
        <v>56301.357300000003</v>
      </c>
      <c r="L168" s="565">
        <f t="shared" si="45"/>
        <v>342.5934000000052</v>
      </c>
      <c r="M168" s="566">
        <v>1.6367</v>
      </c>
      <c r="N168" s="567">
        <f t="shared" si="46"/>
        <v>560.72261778000848</v>
      </c>
      <c r="O168" s="1"/>
      <c r="P168" s="322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15" customFormat="1" ht="15" customHeight="1">
      <c r="A169" s="556" t="s">
        <v>1415</v>
      </c>
      <c r="B169" s="554" t="s">
        <v>1416</v>
      </c>
      <c r="C169" s="557" t="s">
        <v>53</v>
      </c>
      <c r="D169" s="558">
        <v>41564</v>
      </c>
      <c r="E169" s="559">
        <v>37382</v>
      </c>
      <c r="F169" s="560">
        <v>103</v>
      </c>
      <c r="G169" s="561">
        <f t="shared" si="43"/>
        <v>38503.46</v>
      </c>
      <c r="H169" s="562"/>
      <c r="I169" s="606">
        <v>41666</v>
      </c>
      <c r="J169" s="560">
        <v>105.6</v>
      </c>
      <c r="K169" s="564">
        <f t="shared" si="44"/>
        <v>39475.392</v>
      </c>
      <c r="L169" s="565">
        <f t="shared" si="45"/>
        <v>971.9320000000007</v>
      </c>
      <c r="M169" s="566">
        <v>1.6367</v>
      </c>
      <c r="N169" s="567">
        <f t="shared" si="46"/>
        <v>1590.7611044000012</v>
      </c>
      <c r="O169" s="366"/>
      <c r="P169" s="366"/>
    </row>
    <row r="170" spans="1:26" s="115" customFormat="1" ht="15" customHeight="1">
      <c r="A170" s="556" t="s">
        <v>1344</v>
      </c>
      <c r="B170" s="554" t="s">
        <v>1345</v>
      </c>
      <c r="C170" s="557" t="s">
        <v>53</v>
      </c>
      <c r="D170" s="558">
        <v>41533</v>
      </c>
      <c r="E170" s="559">
        <v>10307</v>
      </c>
      <c r="F170" s="560">
        <v>454</v>
      </c>
      <c r="G170" s="561">
        <f t="shared" si="43"/>
        <v>46793.78</v>
      </c>
      <c r="H170" s="562"/>
      <c r="I170" s="606">
        <v>41666</v>
      </c>
      <c r="J170" s="560">
        <v>473.2</v>
      </c>
      <c r="K170" s="564">
        <f t="shared" si="44"/>
        <v>48772.723999999995</v>
      </c>
      <c r="L170" s="565">
        <f t="shared" si="45"/>
        <v>1978.9439999999959</v>
      </c>
      <c r="M170" s="566">
        <v>1.6367</v>
      </c>
      <c r="N170" s="567">
        <f t="shared" si="46"/>
        <v>3238.9376447999934</v>
      </c>
      <c r="O170" s="366"/>
      <c r="P170" s="366"/>
    </row>
    <row r="171" spans="1:26" s="115" customFormat="1" ht="15" customHeight="1">
      <c r="A171" s="556" t="s">
        <v>785</v>
      </c>
      <c r="B171" s="554" t="s">
        <v>786</v>
      </c>
      <c r="C171" s="557" t="s">
        <v>53</v>
      </c>
      <c r="D171" s="558">
        <v>41575</v>
      </c>
      <c r="E171" s="559">
        <v>6506</v>
      </c>
      <c r="F171" s="560">
        <v>873</v>
      </c>
      <c r="G171" s="561">
        <f t="shared" ref="G171:G178" si="47">SUM(E171*F171)/100</f>
        <v>56797.38</v>
      </c>
      <c r="H171" s="562"/>
      <c r="I171" s="606">
        <v>41670</v>
      </c>
      <c r="J171" s="560">
        <v>883</v>
      </c>
      <c r="K171" s="564">
        <f t="shared" ref="K171:K178" si="48">SUM(E171*J171)/100</f>
        <v>57447.98</v>
      </c>
      <c r="L171" s="565">
        <f t="shared" ref="L171:L178" si="49">SUM(K171-G171)</f>
        <v>650.60000000000582</v>
      </c>
      <c r="M171" s="566">
        <v>1.6367</v>
      </c>
      <c r="N171" s="567">
        <f t="shared" ref="N171:N178" si="50">SUM(K171-G171)*M171</f>
        <v>1064.8370200000095</v>
      </c>
      <c r="O171" s="366"/>
      <c r="P171" s="366"/>
    </row>
    <row r="172" spans="1:26" s="115" customFormat="1" ht="15" customHeight="1">
      <c r="A172" s="556" t="s">
        <v>1555</v>
      </c>
      <c r="B172" s="555" t="s">
        <v>1553</v>
      </c>
      <c r="C172" s="582" t="s">
        <v>53</v>
      </c>
      <c r="D172" s="583">
        <v>41653</v>
      </c>
      <c r="E172" s="584">
        <v>23888</v>
      </c>
      <c r="F172" s="585">
        <v>418.1</v>
      </c>
      <c r="G172" s="561">
        <f t="shared" si="47"/>
        <v>99875.728000000003</v>
      </c>
      <c r="H172" s="562"/>
      <c r="I172" s="607">
        <v>41670</v>
      </c>
      <c r="J172" s="585">
        <v>403.7</v>
      </c>
      <c r="K172" s="564">
        <f t="shared" si="48"/>
        <v>96435.856</v>
      </c>
      <c r="L172" s="565">
        <f t="shared" si="49"/>
        <v>-3439.872000000003</v>
      </c>
      <c r="M172" s="566">
        <v>1.6473</v>
      </c>
      <c r="N172" s="567">
        <f t="shared" si="50"/>
        <v>-5666.5011456000047</v>
      </c>
      <c r="O172" s="366"/>
      <c r="P172" s="366"/>
    </row>
    <row r="173" spans="1:26" s="115" customFormat="1" ht="15" customHeight="1">
      <c r="A173" s="556" t="s">
        <v>1493</v>
      </c>
      <c r="B173" s="555" t="s">
        <v>1492</v>
      </c>
      <c r="C173" s="582" t="s">
        <v>53</v>
      </c>
      <c r="D173" s="583">
        <v>41604</v>
      </c>
      <c r="E173" s="584">
        <v>1736</v>
      </c>
      <c r="F173" s="585">
        <v>3551</v>
      </c>
      <c r="G173" s="561">
        <f t="shared" si="47"/>
        <v>61645.36</v>
      </c>
      <c r="H173" s="562"/>
      <c r="I173" s="607">
        <v>41675</v>
      </c>
      <c r="J173" s="585">
        <v>3686</v>
      </c>
      <c r="K173" s="564">
        <f t="shared" si="48"/>
        <v>63988.959999999999</v>
      </c>
      <c r="L173" s="565">
        <f t="shared" si="49"/>
        <v>2343.5999999999985</v>
      </c>
      <c r="M173" s="566">
        <v>1.6367</v>
      </c>
      <c r="N173" s="567">
        <f t="shared" si="50"/>
        <v>3835.7701199999979</v>
      </c>
      <c r="O173" s="366"/>
      <c r="P173" s="366"/>
    </row>
    <row r="174" spans="1:26" s="115" customFormat="1" ht="15" customHeight="1">
      <c r="A174" s="556" t="s">
        <v>1413</v>
      </c>
      <c r="B174" s="554" t="s">
        <v>1414</v>
      </c>
      <c r="C174" s="557" t="s">
        <v>53</v>
      </c>
      <c r="D174" s="558">
        <v>41563</v>
      </c>
      <c r="E174" s="559">
        <v>2076</v>
      </c>
      <c r="F174" s="560">
        <v>1073</v>
      </c>
      <c r="G174" s="561">
        <f t="shared" si="47"/>
        <v>22275.48</v>
      </c>
      <c r="H174" s="562"/>
      <c r="I174" s="606">
        <v>41675</v>
      </c>
      <c r="J174" s="560">
        <v>1381</v>
      </c>
      <c r="K174" s="564">
        <f t="shared" si="48"/>
        <v>28669.56</v>
      </c>
      <c r="L174" s="565">
        <f t="shared" si="49"/>
        <v>6394.0800000000017</v>
      </c>
      <c r="M174" s="566">
        <v>1.6367</v>
      </c>
      <c r="N174" s="567">
        <f t="shared" si="50"/>
        <v>10465.190736000002</v>
      </c>
      <c r="O174" s="366"/>
      <c r="P174" s="366"/>
    </row>
    <row r="175" spans="1:26" s="115" customFormat="1" ht="15" customHeight="1">
      <c r="A175" s="556" t="s">
        <v>1560</v>
      </c>
      <c r="B175" s="555" t="s">
        <v>1561</v>
      </c>
      <c r="C175" s="582" t="s">
        <v>53</v>
      </c>
      <c r="D175" s="583">
        <v>41654</v>
      </c>
      <c r="E175" s="584">
        <v>6615</v>
      </c>
      <c r="F175" s="585">
        <v>825</v>
      </c>
      <c r="G175" s="561">
        <f t="shared" si="47"/>
        <v>54573.75</v>
      </c>
      <c r="H175" s="562"/>
      <c r="I175" s="607">
        <v>41683</v>
      </c>
      <c r="J175" s="585">
        <v>773</v>
      </c>
      <c r="K175" s="564">
        <f t="shared" si="48"/>
        <v>51133.95</v>
      </c>
      <c r="L175" s="565">
        <f t="shared" si="49"/>
        <v>-3439.8000000000029</v>
      </c>
      <c r="M175" s="566">
        <v>1.6473</v>
      </c>
      <c r="N175" s="567">
        <f t="shared" si="50"/>
        <v>-5666.3825400000051</v>
      </c>
      <c r="O175" s="366"/>
      <c r="P175" s="366"/>
    </row>
    <row r="176" spans="1:26" ht="14.25" customHeight="1">
      <c r="A176" s="556" t="s">
        <v>837</v>
      </c>
      <c r="B176" s="622" t="s">
        <v>838</v>
      </c>
      <c r="C176" s="582" t="s">
        <v>53</v>
      </c>
      <c r="D176" s="583">
        <v>41280</v>
      </c>
      <c r="E176" s="584">
        <v>15400</v>
      </c>
      <c r="F176" s="823">
        <v>1323</v>
      </c>
      <c r="G176" s="561">
        <f t="shared" si="47"/>
        <v>203742</v>
      </c>
      <c r="H176" s="562"/>
      <c r="I176" s="607">
        <v>41701</v>
      </c>
      <c r="J176" s="823">
        <v>1401</v>
      </c>
      <c r="K176" s="564">
        <f t="shared" si="48"/>
        <v>215754</v>
      </c>
      <c r="L176" s="565">
        <f t="shared" si="49"/>
        <v>12012</v>
      </c>
      <c r="M176" s="566">
        <v>1.6473</v>
      </c>
      <c r="N176" s="567">
        <f t="shared" si="50"/>
        <v>19787.367600000001</v>
      </c>
      <c r="O176" s="366"/>
      <c r="P176" s="366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s="115" customFormat="1" ht="15" customHeight="1">
      <c r="A177" s="556" t="s">
        <v>1584</v>
      </c>
      <c r="B177" s="555" t="s">
        <v>1585</v>
      </c>
      <c r="C177" s="582" t="s">
        <v>53</v>
      </c>
      <c r="D177" s="583">
        <v>41682</v>
      </c>
      <c r="E177" s="584">
        <v>4008</v>
      </c>
      <c r="F177" s="823">
        <v>633</v>
      </c>
      <c r="G177" s="561">
        <f t="shared" si="47"/>
        <v>25370.639999999999</v>
      </c>
      <c r="H177" s="562"/>
      <c r="I177" s="607">
        <v>41701</v>
      </c>
      <c r="J177" s="823">
        <v>599</v>
      </c>
      <c r="K177" s="564">
        <f t="shared" si="48"/>
        <v>24007.919999999998</v>
      </c>
      <c r="L177" s="565">
        <f t="shared" si="49"/>
        <v>-1362.7200000000012</v>
      </c>
      <c r="M177" s="566">
        <v>1.6367</v>
      </c>
      <c r="N177" s="567">
        <f t="shared" si="50"/>
        <v>-2230.3638240000018</v>
      </c>
      <c r="O177" s="366"/>
      <c r="P177" s="366"/>
    </row>
    <row r="178" spans="1:26" s="115" customFormat="1" ht="15" customHeight="1">
      <c r="A178" s="556" t="s">
        <v>1583</v>
      </c>
      <c r="B178" s="555" t="s">
        <v>1586</v>
      </c>
      <c r="C178" s="582" t="s">
        <v>53</v>
      </c>
      <c r="D178" s="583">
        <v>41680</v>
      </c>
      <c r="E178" s="584">
        <v>2889</v>
      </c>
      <c r="F178" s="823">
        <v>857</v>
      </c>
      <c r="G178" s="561">
        <f t="shared" si="47"/>
        <v>24758.73</v>
      </c>
      <c r="H178" s="562"/>
      <c r="I178" s="607">
        <v>41702</v>
      </c>
      <c r="J178" s="823">
        <v>869</v>
      </c>
      <c r="K178" s="564">
        <f t="shared" si="48"/>
        <v>25105.41</v>
      </c>
      <c r="L178" s="565">
        <f t="shared" si="49"/>
        <v>346.68000000000029</v>
      </c>
      <c r="M178" s="566">
        <v>1.6367</v>
      </c>
      <c r="N178" s="567">
        <f t="shared" si="50"/>
        <v>567.41115600000046</v>
      </c>
      <c r="O178" s="366"/>
      <c r="P178" s="366"/>
    </row>
    <row r="179" spans="1:26" s="115" customFormat="1" ht="15" customHeight="1">
      <c r="A179" s="556" t="s">
        <v>1423</v>
      </c>
      <c r="B179" s="554" t="s">
        <v>1424</v>
      </c>
      <c r="C179" s="557" t="s">
        <v>53</v>
      </c>
      <c r="D179" s="558">
        <v>41563</v>
      </c>
      <c r="E179" s="559">
        <v>14106</v>
      </c>
      <c r="F179" s="826">
        <v>305.3</v>
      </c>
      <c r="G179" s="561">
        <f t="shared" ref="G179:G184" si="51">SUM(E179*F179)/100</f>
        <v>43065.617999999995</v>
      </c>
      <c r="H179" s="562"/>
      <c r="I179" s="606">
        <v>41708</v>
      </c>
      <c r="J179" s="826">
        <v>324.7</v>
      </c>
      <c r="K179" s="564">
        <f t="shared" ref="K179:K184" si="52">SUM(E179*J179)/100</f>
        <v>45802.182000000001</v>
      </c>
      <c r="L179" s="565">
        <f>SUM(K179-G179)</f>
        <v>2736.5640000000058</v>
      </c>
      <c r="M179" s="566">
        <v>1.6367</v>
      </c>
      <c r="N179" s="567">
        <f>SUM(K179-G179)*M179</f>
        <v>4478.9342988000099</v>
      </c>
      <c r="O179" s="366"/>
      <c r="P179" s="366"/>
    </row>
    <row r="180" spans="1:26" s="115" customFormat="1" ht="15" customHeight="1">
      <c r="A180" s="556" t="s">
        <v>1593</v>
      </c>
      <c r="B180" s="555" t="s">
        <v>1594</v>
      </c>
      <c r="C180" s="582" t="s">
        <v>53</v>
      </c>
      <c r="D180" s="583">
        <v>41694</v>
      </c>
      <c r="E180" s="584">
        <v>6585</v>
      </c>
      <c r="F180" s="823">
        <v>1349</v>
      </c>
      <c r="G180" s="561">
        <f t="shared" si="51"/>
        <v>88831.65</v>
      </c>
      <c r="H180" s="562"/>
      <c r="I180" s="607">
        <v>41708</v>
      </c>
      <c r="J180" s="823">
        <v>1325</v>
      </c>
      <c r="K180" s="564">
        <f t="shared" si="52"/>
        <v>87251.25</v>
      </c>
      <c r="L180" s="565">
        <f>SUM(K180-G180)</f>
        <v>-1580.3999999999942</v>
      </c>
      <c r="M180" s="566">
        <v>1.6367</v>
      </c>
      <c r="N180" s="567">
        <f>SUM(K180-G180)*M180</f>
        <v>-2586.6406799999904</v>
      </c>
      <c r="O180" s="366"/>
      <c r="P180" s="366"/>
    </row>
    <row r="181" spans="1:26" s="115" customFormat="1" ht="15" customHeight="1">
      <c r="A181" s="556" t="s">
        <v>1504</v>
      </c>
      <c r="B181" s="555" t="s">
        <v>1505</v>
      </c>
      <c r="C181" s="582" t="s">
        <v>53</v>
      </c>
      <c r="D181" s="583">
        <v>41612</v>
      </c>
      <c r="E181" s="584">
        <v>11080</v>
      </c>
      <c r="F181" s="823">
        <v>823</v>
      </c>
      <c r="G181" s="561">
        <f t="shared" si="51"/>
        <v>91188.4</v>
      </c>
      <c r="H181" s="562"/>
      <c r="I181" s="607">
        <v>41710</v>
      </c>
      <c r="J181" s="823">
        <v>915.5</v>
      </c>
      <c r="K181" s="564">
        <f t="shared" si="52"/>
        <v>101437.4</v>
      </c>
      <c r="L181" s="565">
        <f>SUM(K181-G181)</f>
        <v>10249</v>
      </c>
      <c r="M181" s="566">
        <v>1.6367</v>
      </c>
      <c r="N181" s="567">
        <f>SUM(K181-G181)*M181</f>
        <v>16774.5383</v>
      </c>
      <c r="O181" s="366"/>
      <c r="P181" s="366"/>
    </row>
    <row r="182" spans="1:26" s="115" customFormat="1" ht="15" customHeight="1">
      <c r="A182" s="556" t="s">
        <v>812</v>
      </c>
      <c r="B182" s="555" t="s">
        <v>813</v>
      </c>
      <c r="C182" s="582" t="s">
        <v>53</v>
      </c>
      <c r="D182" s="583">
        <v>41689</v>
      </c>
      <c r="E182" s="584">
        <v>4829</v>
      </c>
      <c r="F182" s="823">
        <v>2459</v>
      </c>
      <c r="G182" s="561">
        <f t="shared" si="51"/>
        <v>118745.11</v>
      </c>
      <c r="H182" s="562"/>
      <c r="I182" s="607">
        <v>41722</v>
      </c>
      <c r="J182" s="823">
        <v>2639</v>
      </c>
      <c r="K182" s="564">
        <f t="shared" si="52"/>
        <v>127437.31</v>
      </c>
      <c r="L182" s="565">
        <f>SUM(K182-G182)</f>
        <v>8692.1999999999971</v>
      </c>
      <c r="M182" s="566">
        <v>1.6367</v>
      </c>
      <c r="N182" s="567">
        <f>SUM(K182-G182)*M182</f>
        <v>14226.523739999995</v>
      </c>
      <c r="O182" s="366"/>
      <c r="P182" s="366"/>
    </row>
    <row r="183" spans="1:26" s="117" customFormat="1" ht="15" customHeight="1">
      <c r="A183" s="587" t="s">
        <v>1626</v>
      </c>
      <c r="B183" s="605" t="s">
        <v>1627</v>
      </c>
      <c r="C183" s="588" t="s">
        <v>78</v>
      </c>
      <c r="D183" s="589">
        <v>41722</v>
      </c>
      <c r="E183" s="590">
        <v>1</v>
      </c>
      <c r="F183" s="824">
        <v>1120</v>
      </c>
      <c r="G183" s="591">
        <f t="shared" si="51"/>
        <v>11.2</v>
      </c>
      <c r="H183" s="592"/>
      <c r="I183" s="607">
        <v>41725</v>
      </c>
      <c r="J183" s="824">
        <v>1214</v>
      </c>
      <c r="K183" s="593">
        <f t="shared" si="52"/>
        <v>12.14</v>
      </c>
      <c r="L183" s="594">
        <f>SUM(G183-K183)</f>
        <v>-0.94000000000000128</v>
      </c>
      <c r="M183" s="595">
        <v>1</v>
      </c>
      <c r="N183" s="596">
        <f>SUM(G183-K183)*M183</f>
        <v>-0.94000000000000128</v>
      </c>
      <c r="O183" s="365"/>
      <c r="P183" s="365"/>
    </row>
    <row r="184" spans="1:26" s="115" customFormat="1" ht="15" customHeight="1">
      <c r="A184" s="587" t="s">
        <v>1608</v>
      </c>
      <c r="B184" s="605" t="s">
        <v>1609</v>
      </c>
      <c r="C184" s="588" t="s">
        <v>78</v>
      </c>
      <c r="D184" s="589">
        <v>41710</v>
      </c>
      <c r="E184" s="590">
        <v>16542</v>
      </c>
      <c r="F184" s="824">
        <v>359.6</v>
      </c>
      <c r="G184" s="591">
        <f t="shared" si="51"/>
        <v>59485.031999999999</v>
      </c>
      <c r="H184" s="592"/>
      <c r="I184" s="607">
        <v>41731</v>
      </c>
      <c r="J184" s="824">
        <v>368.9</v>
      </c>
      <c r="K184" s="593">
        <f t="shared" si="52"/>
        <v>61023.437999999995</v>
      </c>
      <c r="L184" s="594">
        <f>SUM(G184-K184)</f>
        <v>-1538.4059999999954</v>
      </c>
      <c r="M184" s="595">
        <v>1.6367</v>
      </c>
      <c r="N184" s="596">
        <f>SUM(G184-K184)*M184</f>
        <v>-2517.9091001999927</v>
      </c>
      <c r="O184" s="365"/>
      <c r="P184" s="365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</row>
    <row r="185" spans="1:26" s="117" customFormat="1" ht="15" customHeight="1">
      <c r="A185" s="556" t="s">
        <v>1248</v>
      </c>
      <c r="B185" s="555" t="s">
        <v>1249</v>
      </c>
      <c r="C185" s="582" t="s">
        <v>53</v>
      </c>
      <c r="D185" s="583">
        <v>41653</v>
      </c>
      <c r="E185" s="584">
        <v>3071</v>
      </c>
      <c r="F185" s="823">
        <v>3725.5</v>
      </c>
      <c r="G185" s="561">
        <f t="shared" ref="G185:G190" si="53">SUM(E185*F185)/100</f>
        <v>114410.105</v>
      </c>
      <c r="H185" s="562"/>
      <c r="I185" s="607">
        <v>41737</v>
      </c>
      <c r="J185" s="823">
        <v>3832</v>
      </c>
      <c r="K185" s="564">
        <f t="shared" ref="K185:K190" si="54">SUM(E185*J185)/100</f>
        <v>117680.72</v>
      </c>
      <c r="L185" s="565">
        <f>SUM(K185-G185)</f>
        <v>3270.6150000000052</v>
      </c>
      <c r="M185" s="566">
        <v>1.6473</v>
      </c>
      <c r="N185" s="567">
        <f>SUM(K185-G185)*M185</f>
        <v>5387.6840895000087</v>
      </c>
      <c r="O185" s="366"/>
      <c r="P185" s="366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115" customFormat="1" ht="15" customHeight="1">
      <c r="A186" s="587" t="s">
        <v>713</v>
      </c>
      <c r="B186" s="605" t="s">
        <v>714</v>
      </c>
      <c r="C186" s="588" t="s">
        <v>78</v>
      </c>
      <c r="D186" s="589">
        <v>41737</v>
      </c>
      <c r="E186" s="590">
        <v>3158</v>
      </c>
      <c r="F186" s="824">
        <v>2680</v>
      </c>
      <c r="G186" s="591">
        <f t="shared" si="53"/>
        <v>84634.4</v>
      </c>
      <c r="H186" s="592"/>
      <c r="I186" s="607">
        <v>41752</v>
      </c>
      <c r="J186" s="824">
        <v>2806</v>
      </c>
      <c r="K186" s="593">
        <f t="shared" si="54"/>
        <v>88613.48</v>
      </c>
      <c r="L186" s="594">
        <f>SUM(G186-K186)</f>
        <v>-3979.0800000000017</v>
      </c>
      <c r="M186" s="595">
        <v>1.6746000000000001</v>
      </c>
      <c r="N186" s="596">
        <f>SUM(G186-K186)*M186</f>
        <v>-6663.3673680000029</v>
      </c>
      <c r="O186" s="365"/>
      <c r="P186" s="365"/>
      <c r="Q186" s="877"/>
      <c r="R186" s="117"/>
      <c r="S186" s="117"/>
      <c r="T186" s="117"/>
      <c r="U186" s="117"/>
      <c r="V186" s="117"/>
      <c r="W186" s="117"/>
      <c r="X186" s="117"/>
      <c r="Y186" s="117"/>
      <c r="Z186" s="117"/>
    </row>
    <row r="187" spans="1:26" s="117" customFormat="1" ht="15" customHeight="1">
      <c r="A187" s="587" t="s">
        <v>787</v>
      </c>
      <c r="B187" s="605" t="s">
        <v>788</v>
      </c>
      <c r="C187" s="588" t="s">
        <v>78</v>
      </c>
      <c r="D187" s="589">
        <v>41737</v>
      </c>
      <c r="E187" s="590">
        <v>15308</v>
      </c>
      <c r="F187" s="824">
        <v>499.5</v>
      </c>
      <c r="G187" s="591">
        <f t="shared" si="53"/>
        <v>76463.460000000006</v>
      </c>
      <c r="H187" s="592"/>
      <c r="I187" s="607">
        <v>41753</v>
      </c>
      <c r="J187" s="824">
        <v>525.5</v>
      </c>
      <c r="K187" s="593">
        <f t="shared" si="54"/>
        <v>80443.539999999994</v>
      </c>
      <c r="L187" s="594">
        <f>SUM(G187-K187)</f>
        <v>-3980.0799999999872</v>
      </c>
      <c r="M187" s="595">
        <v>1.6746000000000001</v>
      </c>
      <c r="N187" s="596">
        <f>SUM(G187-K187)*M187</f>
        <v>-6665.0419679999786</v>
      </c>
      <c r="O187" s="365"/>
      <c r="P187" s="365"/>
    </row>
    <row r="188" spans="1:26" s="115" customFormat="1" ht="15" customHeight="1">
      <c r="A188" s="556" t="s">
        <v>1448</v>
      </c>
      <c r="B188" s="554" t="s">
        <v>1449</v>
      </c>
      <c r="C188" s="557" t="s">
        <v>53</v>
      </c>
      <c r="D188" s="558">
        <v>41577</v>
      </c>
      <c r="E188" s="559">
        <v>13012</v>
      </c>
      <c r="F188" s="826">
        <v>344.6</v>
      </c>
      <c r="G188" s="561">
        <f t="shared" si="53"/>
        <v>44839.351999999999</v>
      </c>
      <c r="H188" s="562"/>
      <c r="I188" s="563">
        <v>41760</v>
      </c>
      <c r="J188" s="826">
        <v>369.3</v>
      </c>
      <c r="K188" s="564">
        <f t="shared" si="54"/>
        <v>48053.316000000006</v>
      </c>
      <c r="L188" s="565">
        <f>SUM(K188-G188)</f>
        <v>3213.9640000000072</v>
      </c>
      <c r="M188" s="566">
        <v>1.6367</v>
      </c>
      <c r="N188" s="567">
        <f>SUM(K188-G188)*M188</f>
        <v>5260.2948788000122</v>
      </c>
      <c r="O188" s="366"/>
      <c r="P188" s="366"/>
    </row>
    <row r="189" spans="1:26" s="115" customFormat="1" ht="15" customHeight="1">
      <c r="A189" s="587" t="s">
        <v>1606</v>
      </c>
      <c r="B189" s="605" t="s">
        <v>1607</v>
      </c>
      <c r="C189" s="588" t="s">
        <v>78</v>
      </c>
      <c r="D189" s="589">
        <v>41709</v>
      </c>
      <c r="E189" s="590">
        <v>2186</v>
      </c>
      <c r="F189" s="824">
        <v>1360</v>
      </c>
      <c r="G189" s="591">
        <f t="shared" si="53"/>
        <v>29729.599999999999</v>
      </c>
      <c r="H189" s="592"/>
      <c r="I189" s="607">
        <v>41765</v>
      </c>
      <c r="J189" s="824">
        <v>1376</v>
      </c>
      <c r="K189" s="593">
        <f t="shared" si="54"/>
        <v>30079.360000000001</v>
      </c>
      <c r="L189" s="594">
        <f>SUM(G189-K189)</f>
        <v>-349.76000000000204</v>
      </c>
      <c r="M189" s="595">
        <v>1.6367</v>
      </c>
      <c r="N189" s="596">
        <f>SUM(G189-K189)*M189</f>
        <v>-572.45219200000338</v>
      </c>
      <c r="O189" s="365"/>
      <c r="P189" s="365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</row>
    <row r="190" spans="1:26" s="117" customFormat="1" ht="15" customHeight="1">
      <c r="A190" s="556" t="s">
        <v>1684</v>
      </c>
      <c r="B190" s="555" t="s">
        <v>1681</v>
      </c>
      <c r="C190" s="582" t="s">
        <v>53</v>
      </c>
      <c r="D190" s="583">
        <v>41751</v>
      </c>
      <c r="E190" s="584">
        <v>4892</v>
      </c>
      <c r="F190" s="823">
        <v>963.5</v>
      </c>
      <c r="G190" s="561">
        <f t="shared" si="53"/>
        <v>47134.42</v>
      </c>
      <c r="H190" s="562"/>
      <c r="I190" s="607">
        <v>41773</v>
      </c>
      <c r="J190" s="823">
        <v>886</v>
      </c>
      <c r="K190" s="564">
        <f t="shared" si="54"/>
        <v>43343.12</v>
      </c>
      <c r="L190" s="565">
        <f>SUM(K190-G190)</f>
        <v>-3791.2999999999956</v>
      </c>
      <c r="M190" s="566">
        <v>1.6746000000000001</v>
      </c>
      <c r="N190" s="567">
        <f>SUM(K190-G190)*M190</f>
        <v>-6348.9109799999933</v>
      </c>
      <c r="O190" s="366"/>
      <c r="P190" s="366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115" customFormat="1" ht="15" customHeight="1">
      <c r="A191" s="556" t="s">
        <v>1679</v>
      </c>
      <c r="B191" s="555" t="s">
        <v>1680</v>
      </c>
      <c r="C191" s="582" t="s">
        <v>53</v>
      </c>
      <c r="D191" s="583">
        <v>41752</v>
      </c>
      <c r="E191" s="584">
        <v>5015</v>
      </c>
      <c r="F191" s="823">
        <v>2646</v>
      </c>
      <c r="G191" s="561">
        <f t="shared" ref="G191:G196" si="55">SUM(E191*F191)/100</f>
        <v>132696.9</v>
      </c>
      <c r="H191" s="562"/>
      <c r="I191" s="607">
        <v>41775</v>
      </c>
      <c r="J191" s="823">
        <v>2559</v>
      </c>
      <c r="K191" s="564">
        <f t="shared" ref="K191:K196" si="56">SUM(E191*J191)/100</f>
        <v>128333.85</v>
      </c>
      <c r="L191" s="565">
        <f>SUM(K191-G191)</f>
        <v>-4363.0499999999884</v>
      </c>
      <c r="M191" s="566">
        <v>1.6746000000000001</v>
      </c>
      <c r="N191" s="567">
        <f>SUM(K191-G191)*M191</f>
        <v>-7306.3635299999805</v>
      </c>
      <c r="O191" s="366"/>
      <c r="P191" s="366"/>
    </row>
    <row r="192" spans="1:26" s="117" customFormat="1" ht="15" customHeight="1">
      <c r="A192" s="556" t="s">
        <v>1717</v>
      </c>
      <c r="B192" s="555" t="s">
        <v>1718</v>
      </c>
      <c r="C192" s="582" t="s">
        <v>53</v>
      </c>
      <c r="D192" s="583">
        <v>41778</v>
      </c>
      <c r="E192" s="584">
        <v>11000</v>
      </c>
      <c r="F192" s="823">
        <v>319.60000000000002</v>
      </c>
      <c r="G192" s="561">
        <f t="shared" si="55"/>
        <v>35156.000000000007</v>
      </c>
      <c r="H192" s="562"/>
      <c r="I192" s="607">
        <v>41779</v>
      </c>
      <c r="J192" s="823">
        <v>305.60000000000002</v>
      </c>
      <c r="K192" s="564">
        <f t="shared" si="56"/>
        <v>33616.000000000007</v>
      </c>
      <c r="L192" s="565">
        <f>SUM(K192-G192)</f>
        <v>-1540</v>
      </c>
      <c r="M192" s="566">
        <v>1</v>
      </c>
      <c r="N192" s="567">
        <f>SUM(K192-G192)*M192</f>
        <v>-1540</v>
      </c>
      <c r="O192" s="366"/>
      <c r="P192" s="366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117" customFormat="1" ht="15" customHeight="1">
      <c r="A193" s="587" t="s">
        <v>1709</v>
      </c>
      <c r="B193" s="605" t="s">
        <v>1710</v>
      </c>
      <c r="C193" s="588" t="s">
        <v>78</v>
      </c>
      <c r="D193" s="589">
        <v>41775</v>
      </c>
      <c r="E193" s="590">
        <v>29346</v>
      </c>
      <c r="F193" s="824">
        <v>233.9</v>
      </c>
      <c r="G193" s="591">
        <f t="shared" si="55"/>
        <v>68640.294000000009</v>
      </c>
      <c r="H193" s="592"/>
      <c r="I193" s="607">
        <v>41787</v>
      </c>
      <c r="J193" s="824">
        <v>246.7</v>
      </c>
      <c r="K193" s="593">
        <f t="shared" si="56"/>
        <v>72396.581999999995</v>
      </c>
      <c r="L193" s="594">
        <f>SUM(G193-K193)</f>
        <v>-3756.2879999999859</v>
      </c>
      <c r="M193" s="595">
        <v>1</v>
      </c>
      <c r="N193" s="596">
        <f>SUM(G193-K193)*M193</f>
        <v>-3756.2879999999859</v>
      </c>
      <c r="O193" s="365"/>
      <c r="P193" s="365"/>
    </row>
    <row r="194" spans="1:26" s="115" customFormat="1" ht="15" customHeight="1">
      <c r="A194" s="587" t="s">
        <v>1610</v>
      </c>
      <c r="B194" s="605" t="s">
        <v>1611</v>
      </c>
      <c r="C194" s="588" t="s">
        <v>78</v>
      </c>
      <c r="D194" s="589">
        <v>41710</v>
      </c>
      <c r="E194" s="590">
        <v>5089</v>
      </c>
      <c r="F194" s="824">
        <v>526.5</v>
      </c>
      <c r="G194" s="591">
        <f t="shared" si="55"/>
        <v>26793.584999999999</v>
      </c>
      <c r="H194" s="592"/>
      <c r="I194" s="607">
        <v>41787</v>
      </c>
      <c r="J194" s="824">
        <v>367.1</v>
      </c>
      <c r="K194" s="593">
        <f t="shared" si="56"/>
        <v>18681.719000000001</v>
      </c>
      <c r="L194" s="594">
        <f>SUM(G194-K194)</f>
        <v>8111.8659999999982</v>
      </c>
      <c r="M194" s="595">
        <v>1.6367</v>
      </c>
      <c r="N194" s="596">
        <f>SUM(G194-K194)*M194</f>
        <v>13276.691082199997</v>
      </c>
      <c r="O194" s="365"/>
      <c r="P194" s="365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</row>
    <row r="195" spans="1:26" s="115" customFormat="1" ht="15" customHeight="1">
      <c r="A195" s="556" t="s">
        <v>1704</v>
      </c>
      <c r="B195" s="555" t="s">
        <v>738</v>
      </c>
      <c r="C195" s="582" t="s">
        <v>53</v>
      </c>
      <c r="D195" s="583">
        <v>41774</v>
      </c>
      <c r="E195" s="584">
        <v>17350</v>
      </c>
      <c r="F195" s="823">
        <v>860.5</v>
      </c>
      <c r="G195" s="561">
        <f t="shared" si="55"/>
        <v>149296.75</v>
      </c>
      <c r="H195" s="562"/>
      <c r="I195" s="607">
        <v>41794</v>
      </c>
      <c r="J195" s="823">
        <v>848</v>
      </c>
      <c r="K195" s="564">
        <f t="shared" si="56"/>
        <v>147128</v>
      </c>
      <c r="L195" s="565">
        <f>SUM(K195-G195)</f>
        <v>-2168.75</v>
      </c>
      <c r="M195" s="566">
        <v>1.6746000000000001</v>
      </c>
      <c r="N195" s="567">
        <f>SUM(K195-G195)*M195</f>
        <v>-3631.7887500000002</v>
      </c>
      <c r="O195" s="366"/>
      <c r="P195" s="366"/>
    </row>
    <row r="196" spans="1:26" s="115" customFormat="1" ht="15" customHeight="1">
      <c r="A196" s="556" t="s">
        <v>1707</v>
      </c>
      <c r="B196" s="555" t="s">
        <v>1708</v>
      </c>
      <c r="C196" s="582" t="s">
        <v>53</v>
      </c>
      <c r="D196" s="583">
        <v>41775</v>
      </c>
      <c r="E196" s="584">
        <v>4238</v>
      </c>
      <c r="F196" s="823">
        <v>2719</v>
      </c>
      <c r="G196" s="561">
        <f t="shared" si="55"/>
        <v>115231.22</v>
      </c>
      <c r="H196" s="562"/>
      <c r="I196" s="607">
        <v>41796</v>
      </c>
      <c r="J196" s="823">
        <v>2629</v>
      </c>
      <c r="K196" s="564">
        <f t="shared" si="56"/>
        <v>111417.02</v>
      </c>
      <c r="L196" s="565">
        <f>SUM(K196-G196)</f>
        <v>-3814.1999999999971</v>
      </c>
      <c r="M196" s="566">
        <v>1.67</v>
      </c>
      <c r="N196" s="567">
        <f>SUM(K196-G196)*M196</f>
        <v>-6369.7139999999945</v>
      </c>
      <c r="O196" s="366"/>
      <c r="P196" s="366"/>
    </row>
    <row r="197" spans="1:26" s="115" customFormat="1" ht="15" customHeight="1">
      <c r="A197" s="556" t="s">
        <v>1701</v>
      </c>
      <c r="B197" s="555" t="s">
        <v>1702</v>
      </c>
      <c r="C197" s="582" t="s">
        <v>53</v>
      </c>
      <c r="D197" s="583">
        <v>41772</v>
      </c>
      <c r="E197" s="584">
        <v>23500</v>
      </c>
      <c r="F197" s="823">
        <v>257.25</v>
      </c>
      <c r="G197" s="561">
        <f>SUM(E197*F197)/100</f>
        <v>60453.75</v>
      </c>
      <c r="H197" s="562"/>
      <c r="I197" s="607">
        <v>41803</v>
      </c>
      <c r="J197" s="823">
        <v>261</v>
      </c>
      <c r="K197" s="564">
        <f>SUM(E197*J197)/100</f>
        <v>61335</v>
      </c>
      <c r="L197" s="565">
        <f>SUM(K197-G197)</f>
        <v>881.25</v>
      </c>
      <c r="M197" s="566">
        <v>1.6746000000000001</v>
      </c>
      <c r="N197" s="567">
        <f>SUM(K197-G197)*M197</f>
        <v>1475.74125</v>
      </c>
      <c r="O197" s="366"/>
      <c r="P197" s="366"/>
    </row>
    <row r="198" spans="1:26" s="115" customFormat="1" ht="15" customHeight="1">
      <c r="A198" s="556" t="s">
        <v>713</v>
      </c>
      <c r="B198" s="555" t="s">
        <v>714</v>
      </c>
      <c r="C198" s="582" t="s">
        <v>53</v>
      </c>
      <c r="D198" s="583">
        <v>41809</v>
      </c>
      <c r="E198" s="584">
        <v>2956</v>
      </c>
      <c r="F198" s="823">
        <v>3099</v>
      </c>
      <c r="G198" s="561">
        <f>SUM(E198*F198)/100</f>
        <v>91606.44</v>
      </c>
      <c r="H198" s="562"/>
      <c r="I198" s="607">
        <v>41830</v>
      </c>
      <c r="J198" s="823">
        <v>2961</v>
      </c>
      <c r="K198" s="564">
        <f>SUM(E198*J198)/100</f>
        <v>87527.16</v>
      </c>
      <c r="L198" s="565">
        <f>SUM(K198-G198)</f>
        <v>-4079.2799999999988</v>
      </c>
      <c r="M198" s="566">
        <v>1</v>
      </c>
      <c r="N198" s="567">
        <f>SUM(K198-G198)*M198</f>
        <v>-4079.2799999999988</v>
      </c>
      <c r="O198" s="366"/>
      <c r="P198" s="366"/>
    </row>
    <row r="199" spans="1:26" s="117" customFormat="1" ht="15" customHeight="1">
      <c r="A199" s="556" t="s">
        <v>1758</v>
      </c>
      <c r="B199" s="555" t="s">
        <v>1759</v>
      </c>
      <c r="C199" s="582" t="s">
        <v>53</v>
      </c>
      <c r="D199" s="583">
        <v>41809</v>
      </c>
      <c r="E199" s="584">
        <v>24025</v>
      </c>
      <c r="F199" s="823">
        <v>518</v>
      </c>
      <c r="G199" s="561">
        <f>SUM(E199*F199)/100</f>
        <v>124449.5</v>
      </c>
      <c r="H199" s="562"/>
      <c r="I199" s="607">
        <v>41830</v>
      </c>
      <c r="J199" s="823">
        <v>509.4</v>
      </c>
      <c r="K199" s="564">
        <f>SUM(E199*J199)/100</f>
        <v>122383.35</v>
      </c>
      <c r="L199" s="565">
        <f>SUM(K199-G199)</f>
        <v>-2066.1499999999942</v>
      </c>
      <c r="M199" s="566">
        <v>1</v>
      </c>
      <c r="N199" s="567">
        <f>SUM(K199-G199)*M199</f>
        <v>-2066.1499999999942</v>
      </c>
      <c r="O199" s="366"/>
      <c r="P199" s="366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115" customFormat="1" ht="15" customHeight="1">
      <c r="A200" s="556" t="s">
        <v>1720</v>
      </c>
      <c r="B200" s="555" t="s">
        <v>1721</v>
      </c>
      <c r="C200" s="582" t="s">
        <v>53</v>
      </c>
      <c r="D200" s="583">
        <v>41782</v>
      </c>
      <c r="E200" s="584">
        <v>3671</v>
      </c>
      <c r="F200" s="823">
        <v>3316</v>
      </c>
      <c r="G200" s="561">
        <f>SUM(E200*F200)/100</f>
        <v>121730.36</v>
      </c>
      <c r="H200" s="562"/>
      <c r="I200" s="607">
        <v>41830</v>
      </c>
      <c r="J200" s="823">
        <v>3216</v>
      </c>
      <c r="K200" s="564">
        <f>SUM(E200*J200)/100</f>
        <v>118059.36</v>
      </c>
      <c r="L200" s="565">
        <f>SUM(K200-G200)</f>
        <v>-3671</v>
      </c>
      <c r="M200" s="566">
        <v>1.67</v>
      </c>
      <c r="N200" s="567">
        <f>SUM(K200-G200)*M200</f>
        <v>-6130.57</v>
      </c>
      <c r="O200" s="366"/>
      <c r="P200" s="366"/>
    </row>
    <row r="201" spans="1:26" s="115" customFormat="1" ht="15" customHeight="1">
      <c r="A201" s="556"/>
      <c r="B201" s="392"/>
      <c r="C201" s="557"/>
      <c r="D201" s="558"/>
      <c r="E201" s="559"/>
      <c r="F201" s="560"/>
      <c r="G201" s="561"/>
      <c r="H201" s="562"/>
      <c r="I201" s="563"/>
      <c r="J201" s="560"/>
      <c r="K201" s="564"/>
      <c r="L201" s="565"/>
      <c r="M201" s="566"/>
      <c r="N201" s="567"/>
      <c r="O201" s="366"/>
      <c r="P201" s="366"/>
    </row>
    <row r="202" spans="1:26" s="115" customFormat="1" ht="15" customHeight="1">
      <c r="A202" s="556"/>
      <c r="B202" s="392"/>
      <c r="C202" s="557"/>
      <c r="D202" s="558"/>
      <c r="E202" s="559"/>
      <c r="F202" s="560"/>
      <c r="G202" s="561"/>
      <c r="H202" s="562"/>
      <c r="I202" s="563"/>
      <c r="J202" s="560"/>
      <c r="K202" s="564"/>
      <c r="L202" s="565"/>
      <c r="M202" s="566"/>
      <c r="N202" s="567"/>
      <c r="O202" s="366"/>
      <c r="P202" s="366"/>
    </row>
    <row r="203" spans="1:26" s="117" customFormat="1" ht="15" customHeight="1">
      <c r="A203" s="84"/>
      <c r="B203" s="617"/>
      <c r="C203" s="84"/>
      <c r="D203" s="142"/>
      <c r="E203" s="367"/>
      <c r="F203" s="157"/>
      <c r="G203" s="192"/>
      <c r="H203" s="280"/>
      <c r="I203" s="241"/>
      <c r="J203" s="371"/>
      <c r="K203" s="194"/>
      <c r="L203" s="178"/>
      <c r="M203" s="166"/>
      <c r="N203" s="285"/>
      <c r="O203" s="116"/>
      <c r="P203" s="116"/>
    </row>
    <row r="204" spans="1:26" s="8" customFormat="1" ht="15" customHeight="1">
      <c r="A204" s="17"/>
      <c r="B204" s="456"/>
      <c r="C204" s="17"/>
      <c r="D204" s="99"/>
      <c r="E204" s="369"/>
      <c r="F204" s="144"/>
      <c r="G204" s="184"/>
      <c r="H204" s="99"/>
      <c r="I204" s="145"/>
      <c r="J204" s="144"/>
      <c r="K204" s="184"/>
      <c r="L204" s="181"/>
      <c r="M204" s="187"/>
      <c r="N204" s="297"/>
      <c r="O204" s="18"/>
    </row>
    <row r="205" spans="1:26" s="14" customFormat="1" ht="16.5" thickBot="1">
      <c r="A205" s="39" t="s">
        <v>34</v>
      </c>
      <c r="B205" s="39"/>
      <c r="C205" s="39"/>
      <c r="D205" s="39"/>
      <c r="E205" s="39"/>
      <c r="F205" s="58"/>
      <c r="G205" s="133"/>
      <c r="H205" s="41"/>
      <c r="I205" s="42"/>
      <c r="J205" s="42"/>
      <c r="K205" s="42"/>
      <c r="L205" s="111"/>
      <c r="M205" s="172"/>
      <c r="N205" s="236">
        <f>SUM(N27:N204)</f>
        <v>132340.04795970905</v>
      </c>
      <c r="O205" s="41"/>
    </row>
    <row r="206" spans="1:26" ht="11.25" customHeight="1" thickTop="1">
      <c r="A206" s="27"/>
      <c r="B206" s="456"/>
      <c r="C206" s="27"/>
      <c r="D206" s="9"/>
      <c r="E206" s="10"/>
      <c r="F206" s="54"/>
      <c r="G206" s="129"/>
      <c r="H206" s="9"/>
      <c r="I206" s="26"/>
      <c r="J206" s="54"/>
      <c r="K206" s="129"/>
      <c r="L206" s="107"/>
      <c r="M206" s="167"/>
      <c r="N206" s="287"/>
      <c r="O206" s="10"/>
    </row>
  </sheetData>
  <sortState ref="A14:Z17">
    <sortCondition ref="B14:B17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56"/>
  <sheetViews>
    <sheetView topLeftCell="A128" workbookViewId="0">
      <selection activeCell="J147" sqref="J147:J148"/>
    </sheetView>
  </sheetViews>
  <sheetFormatPr defaultColWidth="9.140625" defaultRowHeight="11.25" customHeight="1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6" bestFit="1" customWidth="1"/>
    <col min="5" max="5" width="6" style="66" bestFit="1" customWidth="1"/>
    <col min="6" max="6" width="13.42578125" style="4" customWidth="1"/>
    <col min="7" max="7" width="2.85546875" style="1" customWidth="1"/>
    <col min="8" max="8" width="10.42578125" style="256" bestFit="1" customWidth="1"/>
    <col min="9" max="9" width="2.28515625" style="1" customWidth="1"/>
    <col min="10" max="10" width="13.28515625" style="16" customWidth="1"/>
    <col min="11" max="11" width="10.140625" style="146" bestFit="1" customWidth="1"/>
    <col min="12" max="12" width="8.5703125" style="243" customWidth="1"/>
    <col min="13" max="13" width="7.85546875" style="126" customWidth="1"/>
    <col min="14" max="14" width="12.42578125" style="104" bestFit="1" customWidth="1"/>
    <col min="15" max="15" width="8" style="67" bestFit="1" customWidth="1"/>
    <col min="16" max="16" width="13.5703125" style="163" bestFit="1" customWidth="1"/>
    <col min="17" max="17" width="13.7109375" style="136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>
      <c r="A2" s="11" t="s">
        <v>877</v>
      </c>
      <c r="I2" s="401"/>
      <c r="J2" s="403"/>
      <c r="K2" s="403"/>
      <c r="L2" s="879"/>
      <c r="M2" s="401"/>
    </row>
    <row r="3" spans="1:19" ht="9" customHeight="1">
      <c r="A3" s="11"/>
    </row>
    <row r="4" spans="1:19" s="7" customFormat="1" ht="19.5" thickBot="1">
      <c r="A4" s="432">
        <f>SUM(Q19+N24)</f>
        <v>121826.64696961273</v>
      </c>
      <c r="B4" s="11"/>
      <c r="D4" s="68"/>
      <c r="E4" s="125"/>
      <c r="F4" s="300"/>
      <c r="H4" s="257"/>
      <c r="J4" s="402"/>
      <c r="K4" s="402"/>
      <c r="L4" s="880"/>
      <c r="M4" s="402"/>
      <c r="N4" s="105"/>
      <c r="O4" s="68"/>
      <c r="P4" s="173"/>
      <c r="Q4" s="137"/>
      <c r="R4" s="12"/>
    </row>
    <row r="5" spans="1:19" s="7" customFormat="1" ht="12.75" customHeight="1" thickTop="1">
      <c r="A5" s="805"/>
      <c r="B5" s="11"/>
      <c r="D5" s="68"/>
      <c r="E5" s="68"/>
      <c r="F5" s="300"/>
      <c r="H5" s="258"/>
      <c r="J5" s="24"/>
      <c r="K5" s="155"/>
      <c r="L5" s="881"/>
      <c r="M5" s="128"/>
      <c r="N5" s="105"/>
      <c r="O5" s="68"/>
      <c r="P5" s="173"/>
      <c r="Q5" s="137"/>
      <c r="R5" s="12"/>
    </row>
    <row r="6" spans="1:19" s="14" customFormat="1" ht="18.75">
      <c r="A6" s="203"/>
      <c r="B6" s="204"/>
      <c r="C6" s="204"/>
      <c r="D6" s="223"/>
      <c r="E6" s="223"/>
      <c r="F6" s="301"/>
      <c r="G6" s="205" t="s">
        <v>36</v>
      </c>
      <c r="H6" s="259"/>
      <c r="I6" s="204"/>
      <c r="J6" s="207"/>
      <c r="K6" s="209"/>
      <c r="L6" s="882"/>
      <c r="M6" s="232"/>
      <c r="N6" s="226">
        <f>SUM(Q19)</f>
        <v>22155</v>
      </c>
      <c r="O6" s="223"/>
      <c r="P6" s="233"/>
      <c r="Q6" s="227"/>
      <c r="R6" s="228"/>
      <c r="S6" s="11"/>
    </row>
    <row r="7" spans="1:19" s="2" customFormat="1" ht="15" customHeight="1">
      <c r="A7" s="14"/>
      <c r="B7" s="14" t="s">
        <v>678</v>
      </c>
      <c r="D7" s="69" t="s">
        <v>9</v>
      </c>
      <c r="E7" s="69"/>
      <c r="F7" s="61" t="s">
        <v>17</v>
      </c>
      <c r="G7" s="2" t="s">
        <v>41</v>
      </c>
      <c r="H7" s="260" t="s">
        <v>19</v>
      </c>
      <c r="J7" s="61" t="s">
        <v>895</v>
      </c>
      <c r="K7" s="147" t="s">
        <v>681</v>
      </c>
      <c r="L7" s="356" t="s">
        <v>5</v>
      </c>
      <c r="M7" s="127" t="s">
        <v>16</v>
      </c>
      <c r="N7" s="106" t="s">
        <v>682</v>
      </c>
      <c r="O7" s="69" t="s">
        <v>10</v>
      </c>
      <c r="P7" s="165" t="s">
        <v>10</v>
      </c>
      <c r="Q7" s="138" t="s">
        <v>15</v>
      </c>
      <c r="R7" s="62"/>
      <c r="S7" s="118"/>
    </row>
    <row r="8" spans="1:19" s="2" customFormat="1" ht="15" customHeight="1">
      <c r="A8" s="14"/>
      <c r="B8" s="14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0"/>
      <c r="J8" s="61" t="s">
        <v>887</v>
      </c>
      <c r="K8" s="147" t="s">
        <v>18</v>
      </c>
      <c r="L8" s="356"/>
      <c r="M8" s="127" t="s">
        <v>42</v>
      </c>
      <c r="N8" s="106" t="s">
        <v>885</v>
      </c>
      <c r="O8" s="69" t="s">
        <v>680</v>
      </c>
      <c r="P8" s="165" t="s">
        <v>839</v>
      </c>
      <c r="Q8" s="138" t="s">
        <v>884</v>
      </c>
      <c r="R8" s="62"/>
      <c r="S8" s="118"/>
    </row>
    <row r="9" spans="1:19" s="2" customFormat="1" ht="15" customHeight="1">
      <c r="A9" s="14"/>
      <c r="B9" s="14"/>
      <c r="D9" s="69"/>
      <c r="E9" s="69"/>
      <c r="F9" s="61"/>
      <c r="H9" s="260"/>
      <c r="J9" s="61"/>
      <c r="K9" s="147"/>
      <c r="L9" s="356"/>
      <c r="M9" s="127"/>
      <c r="N9" s="106"/>
      <c r="O9" s="69"/>
      <c r="P9" s="165" t="s">
        <v>19</v>
      </c>
      <c r="Q9" s="138"/>
      <c r="R9" s="62"/>
      <c r="S9" s="118"/>
    </row>
    <row r="10" spans="1:19" s="14" customFormat="1" ht="15" customHeight="1">
      <c r="A10" s="14" t="s">
        <v>1664</v>
      </c>
      <c r="B10" s="14" t="s">
        <v>33</v>
      </c>
      <c r="C10" s="14" t="s">
        <v>40</v>
      </c>
      <c r="D10" s="761">
        <v>40919</v>
      </c>
      <c r="E10" s="761" t="s">
        <v>53</v>
      </c>
      <c r="F10" s="522">
        <v>40544</v>
      </c>
      <c r="G10" s="425">
        <v>1</v>
      </c>
      <c r="H10" s="800">
        <v>1</v>
      </c>
      <c r="I10" s="502"/>
      <c r="J10" s="775"/>
      <c r="K10" s="635">
        <v>1</v>
      </c>
      <c r="L10" s="429">
        <v>1</v>
      </c>
      <c r="M10" s="636">
        <v>10</v>
      </c>
      <c r="N10" s="764">
        <f>SUM((K10-H10)/L10*M10)*G10</f>
        <v>0</v>
      </c>
      <c r="O10" s="760" t="s">
        <v>884</v>
      </c>
      <c r="P10" s="759">
        <v>1</v>
      </c>
      <c r="Q10" s="833">
        <f>SUM(N10*P10)</f>
        <v>0</v>
      </c>
      <c r="R10" s="541"/>
      <c r="S10" s="11"/>
    </row>
    <row r="11" spans="1:19" s="456" customFormat="1" ht="15" customHeight="1">
      <c r="A11" s="456" t="s">
        <v>1665</v>
      </c>
      <c r="B11" s="456" t="s">
        <v>33</v>
      </c>
      <c r="C11" s="456" t="s">
        <v>40</v>
      </c>
      <c r="D11" s="786">
        <v>40919</v>
      </c>
      <c r="E11" s="786" t="s">
        <v>78</v>
      </c>
      <c r="F11" s="505">
        <v>40544</v>
      </c>
      <c r="G11" s="484">
        <v>1</v>
      </c>
      <c r="H11" s="801">
        <v>1</v>
      </c>
      <c r="I11" s="789"/>
      <c r="J11" s="775"/>
      <c r="K11" s="675">
        <v>1</v>
      </c>
      <c r="L11" s="466">
        <v>1</v>
      </c>
      <c r="M11" s="651">
        <v>10</v>
      </c>
      <c r="N11" s="791">
        <f>SUM((H11-K11)/L11*M11)*G11</f>
        <v>0</v>
      </c>
      <c r="O11" s="760" t="s">
        <v>884</v>
      </c>
      <c r="P11" s="677">
        <v>1</v>
      </c>
      <c r="Q11" s="878">
        <f>SUM(N11*P11)</f>
        <v>0</v>
      </c>
      <c r="R11" s="542"/>
      <c r="S11" s="11"/>
    </row>
    <row r="12" spans="1:19" s="17" customFormat="1" ht="15" customHeight="1">
      <c r="A12" s="456"/>
      <c r="B12" s="456"/>
      <c r="D12" s="183"/>
      <c r="E12" s="183"/>
      <c r="F12" s="143"/>
      <c r="G12" s="18"/>
      <c r="H12" s="269"/>
      <c r="I12" s="162"/>
      <c r="J12" s="242"/>
      <c r="K12" s="153"/>
      <c r="L12" s="883"/>
      <c r="M12" s="184"/>
      <c r="N12" s="181"/>
      <c r="O12" s="176"/>
      <c r="P12" s="187"/>
      <c r="Q12" s="185"/>
      <c r="R12" s="174"/>
      <c r="S12" s="118"/>
    </row>
    <row r="14" spans="1:19" s="14" customFormat="1" ht="15" customHeight="1">
      <c r="A14" s="14" t="s">
        <v>48</v>
      </c>
      <c r="B14" s="14" t="s">
        <v>47</v>
      </c>
      <c r="C14" s="14" t="s">
        <v>1714</v>
      </c>
      <c r="D14" s="761">
        <v>41852</v>
      </c>
      <c r="E14" s="761" t="s">
        <v>53</v>
      </c>
      <c r="F14" s="522">
        <v>41778</v>
      </c>
      <c r="G14" s="425">
        <v>3</v>
      </c>
      <c r="H14" s="800">
        <v>193.45</v>
      </c>
      <c r="I14" s="502"/>
      <c r="J14" s="775">
        <v>206.4</v>
      </c>
      <c r="K14" s="635">
        <v>210.6</v>
      </c>
      <c r="L14" s="429">
        <v>0.25</v>
      </c>
      <c r="M14" s="636">
        <v>12.5</v>
      </c>
      <c r="N14" s="764">
        <f>SUM((K14-H14)/L14*M14)*G14</f>
        <v>2572.5000000000009</v>
      </c>
      <c r="O14" s="760" t="s">
        <v>884</v>
      </c>
      <c r="P14" s="759">
        <v>1</v>
      </c>
      <c r="Q14" s="833">
        <f>SUM(N14*P14)</f>
        <v>2572.5000000000009</v>
      </c>
      <c r="R14" s="541"/>
      <c r="S14" s="11"/>
    </row>
    <row r="15" spans="1:19" s="14" customFormat="1" ht="15" customHeight="1">
      <c r="A15" s="14" t="s">
        <v>1776</v>
      </c>
      <c r="B15" s="14" t="s">
        <v>1022</v>
      </c>
      <c r="C15" s="14" t="s">
        <v>1777</v>
      </c>
      <c r="D15" s="761">
        <v>41883</v>
      </c>
      <c r="E15" s="761" t="s">
        <v>53</v>
      </c>
      <c r="F15" s="522">
        <v>40544</v>
      </c>
      <c r="G15" s="425">
        <v>3</v>
      </c>
      <c r="H15" s="800">
        <v>3840.75</v>
      </c>
      <c r="I15" s="502"/>
      <c r="J15" s="775">
        <v>3746.25</v>
      </c>
      <c r="K15" s="635">
        <v>3874</v>
      </c>
      <c r="L15" s="429">
        <v>0.25</v>
      </c>
      <c r="M15" s="636">
        <v>5</v>
      </c>
      <c r="N15" s="764">
        <f>SUM((K15-H15)/L15*M15)*G15</f>
        <v>1995</v>
      </c>
      <c r="O15" s="760" t="s">
        <v>884</v>
      </c>
      <c r="P15" s="759">
        <v>1</v>
      </c>
      <c r="Q15" s="833">
        <f>SUM(N15*P15)</f>
        <v>1995</v>
      </c>
      <c r="R15" s="541"/>
      <c r="S15" s="11"/>
    </row>
    <row r="16" spans="1:19" s="456" customFormat="1" ht="15" customHeight="1">
      <c r="A16" s="456" t="s">
        <v>46</v>
      </c>
      <c r="B16" s="456" t="s">
        <v>981</v>
      </c>
      <c r="C16" s="456" t="s">
        <v>1786</v>
      </c>
      <c r="D16" s="786">
        <v>41883</v>
      </c>
      <c r="E16" s="786" t="s">
        <v>78</v>
      </c>
      <c r="F16" s="505">
        <v>40544</v>
      </c>
      <c r="G16" s="484">
        <v>7</v>
      </c>
      <c r="H16" s="801">
        <v>576.25</v>
      </c>
      <c r="I16" s="789"/>
      <c r="J16" s="775">
        <v>596.29999999999995</v>
      </c>
      <c r="K16" s="675">
        <v>526</v>
      </c>
      <c r="L16" s="466">
        <v>0.25</v>
      </c>
      <c r="M16" s="651">
        <v>12.5</v>
      </c>
      <c r="N16" s="791">
        <f>SUM((H16-K16)/L16*M16)*G16</f>
        <v>17587.5</v>
      </c>
      <c r="O16" s="760" t="s">
        <v>884</v>
      </c>
      <c r="P16" s="677">
        <v>1</v>
      </c>
      <c r="Q16" s="878">
        <f>SUM(N16*P16)</f>
        <v>17587.5</v>
      </c>
      <c r="R16" s="542"/>
      <c r="S16" s="11"/>
    </row>
    <row r="18" spans="1:19" s="8" customFormat="1" ht="15" customHeight="1">
      <c r="A18" s="456"/>
      <c r="B18" s="456"/>
      <c r="C18" s="17"/>
      <c r="D18" s="183"/>
      <c r="E18" s="183"/>
      <c r="F18" s="143"/>
      <c r="G18" s="18"/>
      <c r="H18" s="269"/>
      <c r="I18" s="99"/>
      <c r="J18" s="274"/>
      <c r="K18" s="153"/>
      <c r="L18" s="240"/>
      <c r="M18" s="194"/>
      <c r="N18" s="178"/>
      <c r="O18" s="176"/>
      <c r="P18" s="187"/>
      <c r="Q18" s="185"/>
      <c r="R18" s="174"/>
      <c r="S18" s="119"/>
    </row>
    <row r="19" spans="1:19" s="14" customFormat="1" ht="16.5" thickBot="1">
      <c r="A19" s="35" t="s">
        <v>38</v>
      </c>
      <c r="B19" s="35"/>
      <c r="C19" s="35"/>
      <c r="D19" s="72"/>
      <c r="E19" s="72"/>
      <c r="F19" s="302"/>
      <c r="G19" s="35"/>
      <c r="H19" s="262"/>
      <c r="I19" s="37"/>
      <c r="J19" s="38"/>
      <c r="K19" s="150"/>
      <c r="L19" s="248"/>
      <c r="M19" s="130"/>
      <c r="N19" s="108"/>
      <c r="O19" s="72"/>
      <c r="P19" s="168"/>
      <c r="Q19" s="218">
        <f>SUM(Q12:Q18)</f>
        <v>22155</v>
      </c>
      <c r="R19" s="37"/>
      <c r="S19" s="11"/>
    </row>
    <row r="20" spans="1:19" s="14" customFormat="1" ht="16.5" thickTop="1">
      <c r="A20" s="48"/>
      <c r="B20" s="48"/>
      <c r="C20" s="48"/>
      <c r="D20" s="73"/>
      <c r="E20" s="73"/>
      <c r="F20" s="303"/>
      <c r="G20" s="48"/>
      <c r="H20" s="263"/>
      <c r="I20" s="50"/>
      <c r="J20" s="51"/>
      <c r="K20" s="151"/>
      <c r="L20" s="249"/>
      <c r="M20" s="131"/>
      <c r="N20" s="109"/>
      <c r="O20" s="73"/>
      <c r="P20" s="169"/>
      <c r="Q20" s="140"/>
      <c r="R20" s="50"/>
      <c r="S20" s="11"/>
    </row>
    <row r="21" spans="1:19" ht="11.25" customHeight="1">
      <c r="A21" s="476"/>
      <c r="B21" s="476"/>
      <c r="C21" s="90"/>
      <c r="D21" s="134"/>
      <c r="E21" s="134"/>
      <c r="F21" s="304"/>
      <c r="G21" s="43"/>
      <c r="H21" s="264"/>
      <c r="I21" s="44"/>
      <c r="J21" s="46"/>
      <c r="K21" s="152"/>
      <c r="L21" s="250"/>
      <c r="M21" s="132"/>
      <c r="N21" s="110"/>
      <c r="O21" s="175"/>
      <c r="P21" s="170"/>
      <c r="Q21" s="141"/>
      <c r="R21" s="44"/>
    </row>
    <row r="22" spans="1:19" ht="11.25" customHeight="1">
      <c r="A22" s="476"/>
      <c r="B22" s="476"/>
      <c r="C22" s="90"/>
      <c r="D22" s="134"/>
      <c r="E22" s="134"/>
      <c r="F22" s="304"/>
      <c r="G22" s="43"/>
      <c r="H22" s="264"/>
      <c r="I22" s="43"/>
      <c r="J22" s="46"/>
      <c r="K22" s="152"/>
      <c r="L22" s="250"/>
      <c r="M22" s="132"/>
      <c r="N22" s="110"/>
      <c r="O22" s="175"/>
      <c r="P22" s="170"/>
      <c r="Q22" s="141"/>
      <c r="R22" s="44"/>
    </row>
    <row r="23" spans="1:19" ht="11.25" customHeight="1">
      <c r="A23" s="456"/>
      <c r="B23" s="456"/>
      <c r="C23" s="27"/>
      <c r="D23" s="71"/>
      <c r="E23" s="71"/>
      <c r="F23" s="20"/>
      <c r="G23" s="10"/>
      <c r="H23" s="261"/>
      <c r="I23" s="10"/>
      <c r="J23" s="26"/>
      <c r="K23" s="149"/>
      <c r="L23" s="247"/>
      <c r="M23" s="129"/>
      <c r="N23" s="107"/>
      <c r="P23" s="167"/>
      <c r="Q23" s="139"/>
      <c r="R23" s="9"/>
    </row>
    <row r="24" spans="1:19" s="22" customFormat="1" ht="18.75">
      <c r="A24" s="486"/>
      <c r="B24" s="487"/>
      <c r="C24" s="201"/>
      <c r="D24" s="219"/>
      <c r="E24" s="219"/>
      <c r="F24" s="305"/>
      <c r="G24" s="201" t="s">
        <v>37</v>
      </c>
      <c r="H24" s="265"/>
      <c r="I24" s="201"/>
      <c r="J24" s="202"/>
      <c r="K24" s="217"/>
      <c r="L24" s="491"/>
      <c r="M24" s="229"/>
      <c r="N24" s="231">
        <f>SUM(Q153)</f>
        <v>99671.646969612731</v>
      </c>
      <c r="O24" s="219"/>
      <c r="P24" s="230"/>
      <c r="Q24" s="222"/>
      <c r="R24" s="201"/>
      <c r="S24" s="188"/>
    </row>
    <row r="25" spans="1:19" s="8" customFormat="1" ht="15" customHeight="1">
      <c r="A25" s="14"/>
      <c r="B25" s="14"/>
      <c r="C25" s="2"/>
      <c r="D25" s="69"/>
      <c r="E25" s="69"/>
      <c r="F25" s="189"/>
      <c r="H25" s="271"/>
      <c r="J25" s="310"/>
      <c r="K25" s="190"/>
      <c r="L25" s="240"/>
      <c r="M25" s="194"/>
      <c r="N25" s="178"/>
      <c r="O25" s="176"/>
      <c r="P25" s="186"/>
      <c r="Q25" s="179"/>
      <c r="R25" s="19" t="s">
        <v>3</v>
      </c>
      <c r="S25" s="119"/>
    </row>
    <row r="26" spans="1:19" s="2" customFormat="1" ht="15" customHeight="1">
      <c r="A26" s="14"/>
      <c r="B26" s="14"/>
      <c r="D26" s="69"/>
      <c r="E26" s="69"/>
      <c r="F26" s="61"/>
      <c r="H26" s="260"/>
      <c r="J26" s="310"/>
      <c r="K26" s="147"/>
      <c r="L26" s="356"/>
      <c r="M26" s="127"/>
      <c r="N26" s="106"/>
      <c r="O26" s="69"/>
      <c r="P26" s="165"/>
      <c r="Q26" s="138"/>
      <c r="R26" s="62"/>
      <c r="S26" s="118"/>
    </row>
    <row r="27" spans="1:19" s="2" customFormat="1" ht="15" customHeight="1">
      <c r="A27" s="14"/>
      <c r="B27" s="14" t="s">
        <v>678</v>
      </c>
      <c r="D27" s="69" t="s">
        <v>9</v>
      </c>
      <c r="E27" s="69"/>
      <c r="F27" s="61" t="s">
        <v>17</v>
      </c>
      <c r="G27" s="2" t="s">
        <v>41</v>
      </c>
      <c r="H27" s="260" t="s">
        <v>19</v>
      </c>
      <c r="J27" s="61" t="s">
        <v>29</v>
      </c>
      <c r="K27" s="147" t="s">
        <v>681</v>
      </c>
      <c r="L27" s="356" t="s">
        <v>5</v>
      </c>
      <c r="M27" s="127" t="s">
        <v>16</v>
      </c>
      <c r="N27" s="106" t="s">
        <v>682</v>
      </c>
      <c r="O27" s="69" t="s">
        <v>10</v>
      </c>
      <c r="P27" s="165" t="s">
        <v>10</v>
      </c>
      <c r="Q27" s="112" t="s">
        <v>15</v>
      </c>
      <c r="R27" s="62"/>
      <c r="S27" s="118"/>
    </row>
    <row r="28" spans="1:19" s="2" customFormat="1" ht="15" customHeight="1">
      <c r="A28" s="14"/>
      <c r="B28" s="14" t="s">
        <v>0</v>
      </c>
      <c r="C28" s="2" t="s">
        <v>8</v>
      </c>
      <c r="D28" s="69" t="s">
        <v>679</v>
      </c>
      <c r="E28" s="69" t="s">
        <v>181</v>
      </c>
      <c r="F28" s="61" t="s">
        <v>25</v>
      </c>
      <c r="H28" s="260" t="s">
        <v>20</v>
      </c>
      <c r="J28" s="61" t="s">
        <v>7</v>
      </c>
      <c r="K28" s="147" t="s">
        <v>18</v>
      </c>
      <c r="L28" s="356"/>
      <c r="M28" s="127" t="s">
        <v>42</v>
      </c>
      <c r="N28" s="106" t="s">
        <v>885</v>
      </c>
      <c r="O28" s="69" t="s">
        <v>680</v>
      </c>
      <c r="P28" s="165" t="s">
        <v>14</v>
      </c>
      <c r="Q28" s="112" t="s">
        <v>884</v>
      </c>
      <c r="R28" s="62"/>
      <c r="S28" s="118"/>
    </row>
    <row r="29" spans="1:19" s="8" customFormat="1" ht="15" customHeight="1">
      <c r="A29" s="14"/>
      <c r="B29" s="14"/>
      <c r="C29" s="2"/>
      <c r="D29" s="69"/>
      <c r="E29" s="69"/>
      <c r="F29" s="189"/>
      <c r="H29" s="271"/>
      <c r="I29" s="177"/>
      <c r="J29" s="310"/>
      <c r="K29" s="190"/>
      <c r="L29" s="240"/>
      <c r="M29" s="194"/>
      <c r="N29" s="178"/>
      <c r="O29" s="176"/>
      <c r="P29" s="165" t="s">
        <v>1294</v>
      </c>
      <c r="Q29" s="179"/>
      <c r="R29" s="19"/>
      <c r="S29" s="119"/>
    </row>
    <row r="30" spans="1:19" s="2" customFormat="1" ht="15" customHeight="1">
      <c r="A30" s="14"/>
      <c r="B30" s="14"/>
      <c r="D30" s="69"/>
      <c r="E30" s="69"/>
      <c r="F30" s="189"/>
      <c r="G30" s="8"/>
      <c r="H30" s="271"/>
      <c r="I30" s="177"/>
      <c r="J30" s="189"/>
      <c r="K30" s="190"/>
      <c r="L30" s="240"/>
      <c r="M30" s="194"/>
      <c r="N30" s="178"/>
      <c r="O30" s="176"/>
      <c r="P30" s="165" t="s">
        <v>1295</v>
      </c>
      <c r="Q30" s="179"/>
      <c r="R30" s="19"/>
      <c r="S30" s="119"/>
    </row>
    <row r="31" spans="1:19" s="8" customFormat="1" ht="15" customHeight="1">
      <c r="A31" s="498" t="s">
        <v>52</v>
      </c>
      <c r="B31" s="498" t="s">
        <v>51</v>
      </c>
      <c r="C31" s="307"/>
      <c r="D31" s="308"/>
      <c r="E31" s="69" t="s">
        <v>53</v>
      </c>
      <c r="F31" s="79">
        <v>40490</v>
      </c>
      <c r="G31" s="78">
        <v>1</v>
      </c>
      <c r="H31" s="266">
        <v>1775.7</v>
      </c>
      <c r="I31" s="177"/>
      <c r="J31" s="79">
        <v>40494</v>
      </c>
      <c r="K31" s="255">
        <v>1724</v>
      </c>
      <c r="L31" s="884">
        <v>0.1</v>
      </c>
      <c r="M31" s="88">
        <v>5</v>
      </c>
      <c r="N31" s="178">
        <f t="shared" ref="N31:N42" si="0">SUM((K31-H31)/L31*M31)*G31</f>
        <v>-2585.0000000000023</v>
      </c>
      <c r="O31" s="176" t="s">
        <v>884</v>
      </c>
      <c r="P31" s="186">
        <v>1</v>
      </c>
      <c r="Q31" s="179">
        <f t="shared" ref="Q31:Q92" si="1">SUM(N31*P31)</f>
        <v>-2585.0000000000023</v>
      </c>
      <c r="R31" s="19"/>
      <c r="S31" s="119"/>
    </row>
    <row r="32" spans="1:19" s="8" customFormat="1" ht="15" customHeight="1">
      <c r="A32" s="498" t="s">
        <v>50</v>
      </c>
      <c r="B32" s="498" t="s">
        <v>49</v>
      </c>
      <c r="C32" s="307"/>
      <c r="D32" s="308"/>
      <c r="E32" s="69" t="s">
        <v>53</v>
      </c>
      <c r="F32" s="79">
        <v>40491</v>
      </c>
      <c r="G32" s="78">
        <v>1</v>
      </c>
      <c r="H32" s="266">
        <v>764.7</v>
      </c>
      <c r="I32" s="177"/>
      <c r="J32" s="79">
        <v>40498</v>
      </c>
      <c r="K32" s="255">
        <v>740.8</v>
      </c>
      <c r="L32" s="884">
        <v>0.25</v>
      </c>
      <c r="M32" s="88">
        <v>25</v>
      </c>
      <c r="N32" s="178">
        <f t="shared" si="0"/>
        <v>-2390.0000000000091</v>
      </c>
      <c r="O32" s="176" t="s">
        <v>884</v>
      </c>
      <c r="P32" s="345">
        <v>1</v>
      </c>
      <c r="Q32" s="179">
        <f t="shared" si="1"/>
        <v>-2390.0000000000091</v>
      </c>
      <c r="R32" s="19"/>
      <c r="S32" s="119"/>
    </row>
    <row r="33" spans="1:19" s="8" customFormat="1" ht="15" customHeight="1">
      <c r="A33" s="498" t="s">
        <v>43</v>
      </c>
      <c r="B33" s="498" t="s">
        <v>44</v>
      </c>
      <c r="C33" s="307"/>
      <c r="D33" s="308"/>
      <c r="E33" s="69" t="s">
        <v>53</v>
      </c>
      <c r="F33" s="79">
        <v>40490</v>
      </c>
      <c r="G33" s="78">
        <v>1</v>
      </c>
      <c r="H33" s="266">
        <v>2.1486000000000001</v>
      </c>
      <c r="I33" s="177"/>
      <c r="J33" s="79">
        <v>40568</v>
      </c>
      <c r="K33" s="255">
        <v>2.37</v>
      </c>
      <c r="L33" s="884">
        <v>1E-4</v>
      </c>
      <c r="M33" s="88">
        <v>4.2</v>
      </c>
      <c r="N33" s="178">
        <f>SUM((K33-H33)/L33*M33)*G33</f>
        <v>9298.8000000000029</v>
      </c>
      <c r="O33" s="176" t="s">
        <v>884</v>
      </c>
      <c r="P33" s="345">
        <v>1</v>
      </c>
      <c r="Q33" s="179">
        <f>SUM(N33*P33)</f>
        <v>9298.8000000000029</v>
      </c>
      <c r="R33" s="19"/>
      <c r="S33" s="119"/>
    </row>
    <row r="34" spans="1:19" s="8" customFormat="1" ht="15" customHeight="1">
      <c r="A34" s="498" t="s">
        <v>48</v>
      </c>
      <c r="B34" s="498" t="s">
        <v>47</v>
      </c>
      <c r="C34" s="307"/>
      <c r="D34" s="308"/>
      <c r="E34" s="69" t="s">
        <v>53</v>
      </c>
      <c r="F34" s="79">
        <v>40494</v>
      </c>
      <c r="G34" s="78">
        <v>1</v>
      </c>
      <c r="H34" s="266">
        <v>1.1129789999999999</v>
      </c>
      <c r="I34" s="177"/>
      <c r="J34" s="79">
        <v>40584</v>
      </c>
      <c r="K34" s="255">
        <v>1.2342</v>
      </c>
      <c r="L34" s="884">
        <v>2.5000000000000001E-4</v>
      </c>
      <c r="M34" s="88">
        <v>12.5</v>
      </c>
      <c r="N34" s="178">
        <f t="shared" si="0"/>
        <v>6061.0500000000011</v>
      </c>
      <c r="O34" s="176" t="s">
        <v>884</v>
      </c>
      <c r="P34" s="345">
        <v>1</v>
      </c>
      <c r="Q34" s="179">
        <f t="shared" si="1"/>
        <v>6061.0500000000011</v>
      </c>
      <c r="R34" s="19"/>
      <c r="S34" s="119"/>
    </row>
    <row r="35" spans="1:19" s="8" customFormat="1" ht="15" customHeight="1">
      <c r="A35" s="498" t="s">
        <v>46</v>
      </c>
      <c r="B35" s="498" t="s">
        <v>45</v>
      </c>
      <c r="C35" s="307"/>
      <c r="D35" s="308"/>
      <c r="E35" s="69" t="s">
        <v>53</v>
      </c>
      <c r="F35" s="79">
        <v>40583</v>
      </c>
      <c r="G35" s="78">
        <v>1</v>
      </c>
      <c r="H35" s="266">
        <v>877.6</v>
      </c>
      <c r="I35" s="177"/>
      <c r="J35" s="79">
        <v>40589</v>
      </c>
      <c r="K35" s="255">
        <v>837</v>
      </c>
      <c r="L35" s="884">
        <v>1</v>
      </c>
      <c r="M35" s="88">
        <v>50</v>
      </c>
      <c r="N35" s="178">
        <f t="shared" si="0"/>
        <v>-2030.0000000000011</v>
      </c>
      <c r="O35" s="176" t="s">
        <v>884</v>
      </c>
      <c r="P35" s="345">
        <v>1</v>
      </c>
      <c r="Q35" s="179">
        <f t="shared" si="1"/>
        <v>-2030.0000000000011</v>
      </c>
      <c r="R35" s="19"/>
      <c r="S35" s="119"/>
    </row>
    <row r="36" spans="1:19" s="8" customFormat="1" ht="15" customHeight="1">
      <c r="A36" s="498" t="s">
        <v>43</v>
      </c>
      <c r="B36" s="498" t="s">
        <v>44</v>
      </c>
      <c r="C36" s="307"/>
      <c r="D36" s="308"/>
      <c r="E36" s="84" t="s">
        <v>53</v>
      </c>
      <c r="F36" s="77">
        <v>40592</v>
      </c>
      <c r="G36" s="76">
        <v>1</v>
      </c>
      <c r="H36" s="267">
        <v>2.5649999999999999</v>
      </c>
      <c r="I36" s="177"/>
      <c r="J36" s="77">
        <v>40595</v>
      </c>
      <c r="K36" s="148">
        <v>2.5710000000000002</v>
      </c>
      <c r="L36" s="884">
        <v>1E-4</v>
      </c>
      <c r="M36" s="88">
        <v>4.2</v>
      </c>
      <c r="N36" s="178">
        <f t="shared" si="0"/>
        <v>252.00000000000955</v>
      </c>
      <c r="O36" s="176" t="s">
        <v>884</v>
      </c>
      <c r="P36" s="345">
        <v>1</v>
      </c>
      <c r="Q36" s="179">
        <f t="shared" si="1"/>
        <v>252.00000000000955</v>
      </c>
      <c r="R36" s="19"/>
      <c r="S36" s="119"/>
    </row>
    <row r="37" spans="1:19" s="8" customFormat="1" ht="15" customHeight="1">
      <c r="A37" s="446" t="s">
        <v>77</v>
      </c>
      <c r="B37" s="446" t="s">
        <v>76</v>
      </c>
      <c r="C37" s="307"/>
      <c r="D37" s="308"/>
      <c r="E37" s="84" t="s">
        <v>53</v>
      </c>
      <c r="F37" s="77">
        <v>40588</v>
      </c>
      <c r="G37" s="76">
        <v>1</v>
      </c>
      <c r="H37" s="267">
        <v>6637</v>
      </c>
      <c r="I37" s="101"/>
      <c r="J37" s="77">
        <v>40596</v>
      </c>
      <c r="K37" s="148">
        <v>6538</v>
      </c>
      <c r="L37" s="884">
        <v>1</v>
      </c>
      <c r="M37" s="88">
        <v>10.445</v>
      </c>
      <c r="N37" s="178">
        <f t="shared" si="0"/>
        <v>-1034.0550000000001</v>
      </c>
      <c r="O37" s="176" t="s">
        <v>379</v>
      </c>
      <c r="P37" s="186">
        <v>1.36774</v>
      </c>
      <c r="Q37" s="179">
        <f t="shared" si="1"/>
        <v>-1414.3183857000001</v>
      </c>
      <c r="R37" s="81"/>
      <c r="S37" s="119"/>
    </row>
    <row r="38" spans="1:19" s="8" customFormat="1" ht="15" customHeight="1">
      <c r="A38" s="446" t="s">
        <v>75</v>
      </c>
      <c r="B38" s="446" t="s">
        <v>74</v>
      </c>
      <c r="C38" s="307"/>
      <c r="D38" s="308"/>
      <c r="E38" s="84" t="s">
        <v>53</v>
      </c>
      <c r="F38" s="77">
        <v>40469</v>
      </c>
      <c r="G38" s="76">
        <v>1</v>
      </c>
      <c r="H38" s="267">
        <v>6498</v>
      </c>
      <c r="I38" s="101"/>
      <c r="J38" s="77">
        <v>40596</v>
      </c>
      <c r="K38" s="148">
        <v>7152</v>
      </c>
      <c r="L38" s="884">
        <v>0.5</v>
      </c>
      <c r="M38" s="88">
        <v>16.96</v>
      </c>
      <c r="N38" s="178">
        <f t="shared" si="0"/>
        <v>22183.68</v>
      </c>
      <c r="O38" s="176" t="s">
        <v>379</v>
      </c>
      <c r="P38" s="186">
        <v>1.36774</v>
      </c>
      <c r="Q38" s="179">
        <f t="shared" si="1"/>
        <v>30341.506483199999</v>
      </c>
      <c r="R38" s="81"/>
      <c r="S38" s="119"/>
    </row>
    <row r="39" spans="1:19" s="8" customFormat="1" ht="15" customHeight="1">
      <c r="A39" s="446" t="s">
        <v>73</v>
      </c>
      <c r="B39" s="446" t="s">
        <v>72</v>
      </c>
      <c r="C39" s="307"/>
      <c r="D39" s="308"/>
      <c r="E39" s="84" t="s">
        <v>53</v>
      </c>
      <c r="F39" s="77">
        <v>40469</v>
      </c>
      <c r="G39" s="76">
        <v>1</v>
      </c>
      <c r="H39" s="267">
        <v>1169.25</v>
      </c>
      <c r="I39" s="101"/>
      <c r="J39" s="77">
        <v>40596</v>
      </c>
      <c r="K39" s="148">
        <v>1303</v>
      </c>
      <c r="L39" s="884">
        <v>0.25</v>
      </c>
      <c r="M39" s="88">
        <v>12.5</v>
      </c>
      <c r="N39" s="178">
        <f t="shared" si="0"/>
        <v>6687.5</v>
      </c>
      <c r="O39" s="176" t="s">
        <v>884</v>
      </c>
      <c r="P39" s="186">
        <v>1</v>
      </c>
      <c r="Q39" s="179">
        <f t="shared" si="1"/>
        <v>6687.5</v>
      </c>
      <c r="R39" s="81"/>
      <c r="S39" s="119"/>
    </row>
    <row r="40" spans="1:19" s="8" customFormat="1" ht="15" customHeight="1">
      <c r="A40" s="446" t="s">
        <v>73</v>
      </c>
      <c r="B40" s="446" t="s">
        <v>72</v>
      </c>
      <c r="C40" s="307"/>
      <c r="D40" s="308"/>
      <c r="E40" s="84" t="s">
        <v>53</v>
      </c>
      <c r="F40" s="77">
        <v>40515</v>
      </c>
      <c r="G40" s="76">
        <v>1</v>
      </c>
      <c r="H40" s="267">
        <v>1232.3499999999999</v>
      </c>
      <c r="I40" s="101"/>
      <c r="J40" s="77">
        <v>40596</v>
      </c>
      <c r="K40" s="148">
        <f>K39</f>
        <v>1303</v>
      </c>
      <c r="L40" s="884">
        <v>0.25</v>
      </c>
      <c r="M40" s="88">
        <v>12.5</v>
      </c>
      <c r="N40" s="178">
        <f t="shared" si="0"/>
        <v>3532.5000000000045</v>
      </c>
      <c r="O40" s="176" t="s">
        <v>884</v>
      </c>
      <c r="P40" s="345">
        <v>1</v>
      </c>
      <c r="Q40" s="179">
        <f t="shared" si="1"/>
        <v>3532.5000000000045</v>
      </c>
      <c r="R40" s="81"/>
      <c r="S40" s="119"/>
    </row>
    <row r="41" spans="1:19" s="8" customFormat="1" ht="15" customHeight="1">
      <c r="A41" s="446" t="s">
        <v>71</v>
      </c>
      <c r="B41" s="446" t="s">
        <v>70</v>
      </c>
      <c r="C41" s="307"/>
      <c r="D41" s="308"/>
      <c r="E41" s="84" t="s">
        <v>53</v>
      </c>
      <c r="F41" s="77">
        <v>40581</v>
      </c>
      <c r="G41" s="76">
        <v>1</v>
      </c>
      <c r="H41" s="267">
        <v>462.6</v>
      </c>
      <c r="I41" s="101"/>
      <c r="J41" s="77">
        <v>40596</v>
      </c>
      <c r="K41" s="148">
        <v>427.8</v>
      </c>
      <c r="L41" s="884">
        <v>0.05</v>
      </c>
      <c r="M41" s="88">
        <v>12.5</v>
      </c>
      <c r="N41" s="178">
        <f t="shared" si="0"/>
        <v>-8700.0000000000036</v>
      </c>
      <c r="O41" s="176" t="s">
        <v>884</v>
      </c>
      <c r="P41" s="345">
        <v>1</v>
      </c>
      <c r="Q41" s="179">
        <f t="shared" si="1"/>
        <v>-8700.0000000000036</v>
      </c>
      <c r="R41" s="81"/>
      <c r="S41" s="119"/>
    </row>
    <row r="42" spans="1:19" s="8" customFormat="1" ht="15" customHeight="1">
      <c r="A42" s="446" t="s">
        <v>69</v>
      </c>
      <c r="B42" s="446" t="s">
        <v>68</v>
      </c>
      <c r="C42" s="307"/>
      <c r="D42" s="308"/>
      <c r="E42" s="84" t="s">
        <v>53</v>
      </c>
      <c r="F42" s="77">
        <v>40576</v>
      </c>
      <c r="G42" s="76">
        <v>5</v>
      </c>
      <c r="H42" s="267">
        <v>410</v>
      </c>
      <c r="I42" s="101"/>
      <c r="J42" s="77">
        <v>40596</v>
      </c>
      <c r="K42" s="148">
        <v>389.5</v>
      </c>
      <c r="L42" s="884">
        <v>0.25</v>
      </c>
      <c r="M42" s="88">
        <v>12.5</v>
      </c>
      <c r="N42" s="178">
        <f t="shared" si="0"/>
        <v>-5125</v>
      </c>
      <c r="O42" s="176" t="s">
        <v>884</v>
      </c>
      <c r="P42" s="345">
        <v>1</v>
      </c>
      <c r="Q42" s="179">
        <f t="shared" si="1"/>
        <v>-5125</v>
      </c>
      <c r="R42" s="81"/>
      <c r="S42" s="119"/>
    </row>
    <row r="43" spans="1:19" s="18" customFormat="1" ht="15" customHeight="1">
      <c r="A43" s="457" t="s">
        <v>67</v>
      </c>
      <c r="B43" s="457" t="s">
        <v>66</v>
      </c>
      <c r="C43" s="275"/>
      <c r="D43" s="309"/>
      <c r="E43" s="86" t="s">
        <v>78</v>
      </c>
      <c r="F43" s="87">
        <v>40581</v>
      </c>
      <c r="G43" s="85">
        <v>1</v>
      </c>
      <c r="H43" s="268">
        <v>118.53125</v>
      </c>
      <c r="I43" s="99"/>
      <c r="J43" s="87">
        <v>40596</v>
      </c>
      <c r="K43" s="161">
        <v>121</v>
      </c>
      <c r="L43" s="885">
        <v>3.125E-2</v>
      </c>
      <c r="M43" s="103">
        <v>31.25</v>
      </c>
      <c r="N43" s="181">
        <f>SUM((H43-K43)/L43*M43)*G43</f>
        <v>-2468.75</v>
      </c>
      <c r="O43" s="180" t="s">
        <v>884</v>
      </c>
      <c r="P43" s="345">
        <v>1</v>
      </c>
      <c r="Q43" s="185">
        <f t="shared" si="1"/>
        <v>-2468.75</v>
      </c>
      <c r="R43" s="89"/>
      <c r="S43" s="120"/>
    </row>
    <row r="44" spans="1:19" s="8" customFormat="1" ht="15" customHeight="1">
      <c r="A44" s="446" t="s">
        <v>65</v>
      </c>
      <c r="B44" s="446" t="s">
        <v>64</v>
      </c>
      <c r="C44" s="307"/>
      <c r="D44" s="308"/>
      <c r="E44" s="84" t="s">
        <v>53</v>
      </c>
      <c r="F44" s="77">
        <v>40590</v>
      </c>
      <c r="G44" s="76">
        <v>1</v>
      </c>
      <c r="H44" s="267">
        <v>10770.4</v>
      </c>
      <c r="I44" s="101"/>
      <c r="J44" s="77">
        <v>40598</v>
      </c>
      <c r="K44" s="148">
        <v>10450</v>
      </c>
      <c r="L44" s="884">
        <v>5</v>
      </c>
      <c r="M44" s="88">
        <v>2500</v>
      </c>
      <c r="N44" s="178">
        <f>SUM(((K44-H44)/L44*M44)*G44)</f>
        <v>-160199.99999999983</v>
      </c>
      <c r="O44" s="176" t="s">
        <v>684</v>
      </c>
      <c r="P44" s="186">
        <f>1/82.486</f>
        <v>1.212326940329268E-2</v>
      </c>
      <c r="Q44" s="179">
        <f t="shared" si="1"/>
        <v>-1942.1477584074851</v>
      </c>
      <c r="R44" s="81"/>
      <c r="S44" s="119"/>
    </row>
    <row r="45" spans="1:19" s="8" customFormat="1" ht="15" customHeight="1">
      <c r="A45" s="446" t="s">
        <v>63</v>
      </c>
      <c r="B45" s="446" t="s">
        <v>62</v>
      </c>
      <c r="C45" s="307"/>
      <c r="D45" s="308"/>
      <c r="E45" s="84" t="s">
        <v>53</v>
      </c>
      <c r="F45" s="77">
        <v>40574</v>
      </c>
      <c r="G45" s="76">
        <v>3</v>
      </c>
      <c r="H45" s="267">
        <v>92.75</v>
      </c>
      <c r="I45" s="101"/>
      <c r="J45" s="77">
        <v>40599</v>
      </c>
      <c r="K45" s="148">
        <v>90.98</v>
      </c>
      <c r="L45" s="884">
        <v>2.5000000000000001E-2</v>
      </c>
      <c r="M45" s="88">
        <v>10</v>
      </c>
      <c r="N45" s="178">
        <f>SUM((K45-H45)/L45*M45)*G45</f>
        <v>-2123.9999999999955</v>
      </c>
      <c r="O45" s="176" t="s">
        <v>884</v>
      </c>
      <c r="P45" s="186">
        <v>1</v>
      </c>
      <c r="Q45" s="179">
        <f t="shared" si="1"/>
        <v>-2123.9999999999955</v>
      </c>
      <c r="R45" s="81"/>
      <c r="S45" s="119"/>
    </row>
    <row r="46" spans="1:19" s="8" customFormat="1" ht="15" customHeight="1">
      <c r="A46" s="446" t="s">
        <v>57</v>
      </c>
      <c r="B46" s="446" t="s">
        <v>56</v>
      </c>
      <c r="C46" s="307"/>
      <c r="D46" s="308"/>
      <c r="E46" s="84" t="s">
        <v>53</v>
      </c>
      <c r="F46" s="77">
        <v>40561</v>
      </c>
      <c r="G46" s="76">
        <v>1</v>
      </c>
      <c r="H46" s="267">
        <v>4014</v>
      </c>
      <c r="I46" s="101"/>
      <c r="J46" s="197">
        <v>40606</v>
      </c>
      <c r="K46" s="148">
        <v>4021.5</v>
      </c>
      <c r="L46" s="884">
        <v>1</v>
      </c>
      <c r="M46" s="88">
        <f>SUM('[1]Closed Positions'!S25*1.34)</f>
        <v>13.4</v>
      </c>
      <c r="N46" s="178">
        <f>SUM((K46-H46)/L46*M46)*G46</f>
        <v>100.5</v>
      </c>
      <c r="O46" s="176" t="s">
        <v>379</v>
      </c>
      <c r="P46" s="186">
        <v>1.3432999999999999</v>
      </c>
      <c r="Q46" s="179">
        <f t="shared" si="1"/>
        <v>135.00164999999998</v>
      </c>
      <c r="R46" s="81" t="s">
        <v>3</v>
      </c>
      <c r="S46" s="119"/>
    </row>
    <row r="47" spans="1:19" s="8" customFormat="1" ht="15" customHeight="1">
      <c r="A47" s="446" t="s">
        <v>57</v>
      </c>
      <c r="B47" s="446" t="s">
        <v>56</v>
      </c>
      <c r="C47" s="307"/>
      <c r="D47" s="308"/>
      <c r="E47" s="84" t="s">
        <v>53</v>
      </c>
      <c r="F47" s="77">
        <v>40588</v>
      </c>
      <c r="G47" s="76">
        <v>1</v>
      </c>
      <c r="H47" s="267">
        <v>4080.5</v>
      </c>
      <c r="I47" s="101"/>
      <c r="J47" s="197">
        <v>40606</v>
      </c>
      <c r="K47" s="148">
        <f>K46</f>
        <v>4021.5</v>
      </c>
      <c r="L47" s="884">
        <v>1</v>
      </c>
      <c r="M47" s="88">
        <f>SUM('[1]Closed Positions'!S26*1.34)</f>
        <v>13.4</v>
      </c>
      <c r="N47" s="178">
        <f>SUM((K47-H47)/L47*M47)*G47</f>
        <v>-790.6</v>
      </c>
      <c r="O47" s="176" t="s">
        <v>379</v>
      </c>
      <c r="P47" s="186">
        <v>1.3509</v>
      </c>
      <c r="Q47" s="179">
        <f t="shared" si="1"/>
        <v>-1068.02154</v>
      </c>
      <c r="R47" s="81" t="s">
        <v>3</v>
      </c>
      <c r="S47" s="119"/>
    </row>
    <row r="48" spans="1:19" s="18" customFormat="1" ht="15" customHeight="1">
      <c r="A48" s="457" t="s">
        <v>61</v>
      </c>
      <c r="B48" s="457" t="s">
        <v>60</v>
      </c>
      <c r="C48" s="275"/>
      <c r="D48" s="309"/>
      <c r="E48" s="86" t="s">
        <v>78</v>
      </c>
      <c r="F48" s="87">
        <v>40561</v>
      </c>
      <c r="G48" s="85">
        <v>1</v>
      </c>
      <c r="H48" s="268">
        <v>108.2</v>
      </c>
      <c r="I48" s="99"/>
      <c r="J48" s="197">
        <v>40606</v>
      </c>
      <c r="K48" s="161">
        <v>107.67</v>
      </c>
      <c r="L48" s="885">
        <v>1</v>
      </c>
      <c r="M48" s="103">
        <f>SUM('[1]Closed Positions'!S27*1.34)</f>
        <v>13.4</v>
      </c>
      <c r="N48" s="178">
        <f>SUM((H48-K48)/L48*M48)*G48</f>
        <v>7.1020000000000154</v>
      </c>
      <c r="O48" s="180" t="s">
        <v>379</v>
      </c>
      <c r="P48" s="187">
        <v>1.3432999999999999</v>
      </c>
      <c r="Q48" s="179">
        <f t="shared" si="1"/>
        <v>9.5401166000000206</v>
      </c>
      <c r="R48" s="81" t="s">
        <v>3</v>
      </c>
      <c r="S48" s="120"/>
    </row>
    <row r="49" spans="1:19" s="8" customFormat="1" ht="15" customHeight="1">
      <c r="A49" s="446" t="s">
        <v>55</v>
      </c>
      <c r="B49" s="446" t="s">
        <v>54</v>
      </c>
      <c r="C49" s="307"/>
      <c r="D49" s="308"/>
      <c r="E49" s="84" t="s">
        <v>53</v>
      </c>
      <c r="F49" s="77">
        <v>40569</v>
      </c>
      <c r="G49" s="76">
        <v>1</v>
      </c>
      <c r="H49" s="267">
        <v>3002</v>
      </c>
      <c r="I49" s="101"/>
      <c r="J49" s="197">
        <v>40606</v>
      </c>
      <c r="K49" s="148">
        <v>2946</v>
      </c>
      <c r="L49" s="884">
        <v>1</v>
      </c>
      <c r="M49" s="88">
        <v>25.5</v>
      </c>
      <c r="N49" s="178">
        <f>SUM((K49-H49)/L49*M49)*G49</f>
        <v>-1428</v>
      </c>
      <c r="O49" s="176" t="s">
        <v>379</v>
      </c>
      <c r="P49" s="186">
        <v>1.3714999999999999</v>
      </c>
      <c r="Q49" s="179">
        <f t="shared" si="1"/>
        <v>-1958.502</v>
      </c>
      <c r="R49" s="81" t="s">
        <v>3</v>
      </c>
      <c r="S49" s="119"/>
    </row>
    <row r="50" spans="1:19" s="8" customFormat="1" ht="15" customHeight="1">
      <c r="A50" s="446" t="s">
        <v>55</v>
      </c>
      <c r="B50" s="446" t="s">
        <v>54</v>
      </c>
      <c r="C50" s="275"/>
      <c r="D50" s="309"/>
      <c r="E50" s="84" t="s">
        <v>53</v>
      </c>
      <c r="F50" s="77">
        <v>40588</v>
      </c>
      <c r="G50" s="76">
        <v>1</v>
      </c>
      <c r="H50" s="267">
        <v>3013</v>
      </c>
      <c r="I50" s="182"/>
      <c r="J50" s="197">
        <v>40606</v>
      </c>
      <c r="K50" s="148">
        <f>K49</f>
        <v>2946</v>
      </c>
      <c r="L50" s="884">
        <v>1</v>
      </c>
      <c r="M50" s="88">
        <v>25.5</v>
      </c>
      <c r="N50" s="178">
        <f t="shared" ref="N50:N57" si="2">SUM((K50-H50)/L50*M50)*G50</f>
        <v>-1708.5</v>
      </c>
      <c r="O50" s="176" t="s">
        <v>379</v>
      </c>
      <c r="P50" s="186">
        <v>1.3509</v>
      </c>
      <c r="Q50" s="179">
        <f t="shared" si="1"/>
        <v>-2308.0126500000001</v>
      </c>
      <c r="R50" s="81" t="s">
        <v>3</v>
      </c>
      <c r="S50" s="119"/>
    </row>
    <row r="51" spans="1:19" s="8" customFormat="1" ht="15" customHeight="1">
      <c r="A51" s="446" t="s">
        <v>59</v>
      </c>
      <c r="B51" s="446" t="s">
        <v>58</v>
      </c>
      <c r="C51" s="275"/>
      <c r="D51" s="309"/>
      <c r="E51" s="84" t="s">
        <v>53</v>
      </c>
      <c r="F51" s="77">
        <v>40608</v>
      </c>
      <c r="G51" s="76">
        <v>1</v>
      </c>
      <c r="H51" s="267">
        <v>1442</v>
      </c>
      <c r="I51" s="182"/>
      <c r="J51" s="77">
        <v>40613</v>
      </c>
      <c r="K51" s="148">
        <v>1407</v>
      </c>
      <c r="L51" s="884">
        <v>0.01</v>
      </c>
      <c r="M51" s="88">
        <v>1</v>
      </c>
      <c r="N51" s="178">
        <f t="shared" si="2"/>
        <v>-3500</v>
      </c>
      <c r="O51" s="176" t="s">
        <v>884</v>
      </c>
      <c r="P51" s="186">
        <v>1</v>
      </c>
      <c r="Q51" s="179">
        <f t="shared" si="1"/>
        <v>-3500</v>
      </c>
      <c r="R51" s="81"/>
      <c r="S51" s="119"/>
    </row>
    <row r="52" spans="1:19" s="18" customFormat="1" ht="15" customHeight="1">
      <c r="A52" s="446" t="s">
        <v>52</v>
      </c>
      <c r="B52" s="446" t="s">
        <v>51</v>
      </c>
      <c r="C52" s="275"/>
      <c r="D52" s="309"/>
      <c r="E52" s="84" t="s">
        <v>53</v>
      </c>
      <c r="F52" s="77">
        <v>40561</v>
      </c>
      <c r="G52" s="76">
        <v>1</v>
      </c>
      <c r="H52" s="267">
        <v>1803.5</v>
      </c>
      <c r="I52" s="162"/>
      <c r="J52" s="77">
        <v>40613</v>
      </c>
      <c r="K52" s="148">
        <v>1779</v>
      </c>
      <c r="L52" s="884">
        <v>0.1</v>
      </c>
      <c r="M52" s="88">
        <v>5</v>
      </c>
      <c r="N52" s="178">
        <f t="shared" si="2"/>
        <v>-1225</v>
      </c>
      <c r="O52" s="176" t="s">
        <v>884</v>
      </c>
      <c r="P52" s="186">
        <v>1</v>
      </c>
      <c r="Q52" s="179">
        <f t="shared" si="1"/>
        <v>-1225</v>
      </c>
      <c r="R52" s="81"/>
      <c r="S52" s="119"/>
    </row>
    <row r="53" spans="1:19" s="100" customFormat="1" ht="15" customHeight="1">
      <c r="A53" s="446" t="s">
        <v>57</v>
      </c>
      <c r="B53" s="446" t="s">
        <v>56</v>
      </c>
      <c r="C53" s="275"/>
      <c r="D53" s="309"/>
      <c r="E53" s="84" t="s">
        <v>53</v>
      </c>
      <c r="F53" s="77">
        <v>40608</v>
      </c>
      <c r="G53" s="76">
        <v>2</v>
      </c>
      <c r="H53" s="267">
        <v>3932</v>
      </c>
      <c r="I53" s="99"/>
      <c r="J53" s="77">
        <v>40616</v>
      </c>
      <c r="K53" s="148">
        <v>3901</v>
      </c>
      <c r="L53" s="884">
        <v>1</v>
      </c>
      <c r="M53" s="88">
        <f>SUM('[1]Closed Positions'!S32*1.34)</f>
        <v>13.4</v>
      </c>
      <c r="N53" s="178">
        <f t="shared" si="2"/>
        <v>-830.80000000000007</v>
      </c>
      <c r="O53" s="176" t="s">
        <v>379</v>
      </c>
      <c r="P53" s="186">
        <v>1.3964000000000001</v>
      </c>
      <c r="Q53" s="179">
        <f t="shared" si="1"/>
        <v>-1160.1291200000001</v>
      </c>
      <c r="R53" s="81"/>
      <c r="S53" s="119"/>
    </row>
    <row r="54" spans="1:19" s="100" customFormat="1" ht="15" customHeight="1">
      <c r="A54" s="446" t="s">
        <v>55</v>
      </c>
      <c r="B54" s="446" t="s">
        <v>54</v>
      </c>
      <c r="C54" s="275"/>
      <c r="D54" s="309"/>
      <c r="E54" s="84" t="s">
        <v>53</v>
      </c>
      <c r="F54" s="77">
        <v>40608</v>
      </c>
      <c r="G54" s="76">
        <v>2</v>
      </c>
      <c r="H54" s="267">
        <v>2850</v>
      </c>
      <c r="I54" s="99"/>
      <c r="J54" s="77">
        <v>40616</v>
      </c>
      <c r="K54" s="148">
        <v>2867.73</v>
      </c>
      <c r="L54" s="884">
        <v>1</v>
      </c>
      <c r="M54" s="88">
        <v>25.5</v>
      </c>
      <c r="N54" s="178">
        <f t="shared" si="2"/>
        <v>904.23000000000093</v>
      </c>
      <c r="O54" s="176" t="s">
        <v>379</v>
      </c>
      <c r="P54" s="186">
        <v>1.3964000000000001</v>
      </c>
      <c r="Q54" s="179">
        <f t="shared" si="1"/>
        <v>1262.6667720000014</v>
      </c>
      <c r="R54" s="81"/>
      <c r="S54" s="119"/>
    </row>
    <row r="55" spans="1:19" s="100" customFormat="1" ht="15" customHeight="1">
      <c r="A55" s="446" t="s">
        <v>82</v>
      </c>
      <c r="B55" s="446" t="s">
        <v>81</v>
      </c>
      <c r="C55" s="275"/>
      <c r="D55" s="309"/>
      <c r="E55" s="84" t="s">
        <v>53</v>
      </c>
      <c r="F55" s="77">
        <v>40604</v>
      </c>
      <c r="G55" s="76">
        <v>1</v>
      </c>
      <c r="H55" s="267">
        <v>102.2</v>
      </c>
      <c r="I55" s="99"/>
      <c r="J55" s="77">
        <v>40617</v>
      </c>
      <c r="K55" s="148">
        <v>99.11</v>
      </c>
      <c r="L55" s="884">
        <v>0.01</v>
      </c>
      <c r="M55" s="88">
        <v>10</v>
      </c>
      <c r="N55" s="178">
        <f t="shared" si="2"/>
        <v>-3090.0000000000036</v>
      </c>
      <c r="O55" s="176" t="s">
        <v>884</v>
      </c>
      <c r="P55" s="186">
        <v>1</v>
      </c>
      <c r="Q55" s="179">
        <f t="shared" si="1"/>
        <v>-3090.0000000000036</v>
      </c>
      <c r="R55" s="81"/>
      <c r="S55" s="119"/>
    </row>
    <row r="56" spans="1:19" s="100" customFormat="1" ht="15" customHeight="1">
      <c r="A56" s="446" t="s">
        <v>80</v>
      </c>
      <c r="B56" s="446" t="s">
        <v>79</v>
      </c>
      <c r="C56" s="275"/>
      <c r="D56" s="309"/>
      <c r="E56" s="84" t="s">
        <v>53</v>
      </c>
      <c r="F56" s="77">
        <v>40606</v>
      </c>
      <c r="G56" s="76">
        <v>1</v>
      </c>
      <c r="H56" s="267">
        <v>103</v>
      </c>
      <c r="I56" s="99"/>
      <c r="J56" s="77">
        <v>40617</v>
      </c>
      <c r="K56" s="148">
        <v>99.04</v>
      </c>
      <c r="L56" s="884">
        <v>0.01</v>
      </c>
      <c r="M56" s="88">
        <v>10</v>
      </c>
      <c r="N56" s="178">
        <f t="shared" si="2"/>
        <v>-3959.9999999999936</v>
      </c>
      <c r="O56" s="176" t="s">
        <v>884</v>
      </c>
      <c r="P56" s="186">
        <v>1</v>
      </c>
      <c r="Q56" s="179">
        <f t="shared" si="1"/>
        <v>-3959.9999999999936</v>
      </c>
      <c r="R56" s="81"/>
      <c r="S56" s="119"/>
    </row>
    <row r="57" spans="1:19" s="100" customFormat="1" ht="15" customHeight="1">
      <c r="A57" s="446" t="s">
        <v>84</v>
      </c>
      <c r="B57" s="446" t="s">
        <v>83</v>
      </c>
      <c r="C57" s="275"/>
      <c r="D57" s="309"/>
      <c r="E57" s="84" t="s">
        <v>53</v>
      </c>
      <c r="F57" s="77">
        <v>40508</v>
      </c>
      <c r="G57" s="76">
        <v>1</v>
      </c>
      <c r="H57" s="267">
        <v>2.431</v>
      </c>
      <c r="I57" s="99"/>
      <c r="J57" s="77">
        <v>40617</v>
      </c>
      <c r="K57" s="148">
        <v>3.0640000000000001</v>
      </c>
      <c r="L57" s="884">
        <v>1E-4</v>
      </c>
      <c r="M57" s="88">
        <v>4.2</v>
      </c>
      <c r="N57" s="178">
        <f t="shared" si="2"/>
        <v>26586</v>
      </c>
      <c r="O57" s="176" t="s">
        <v>884</v>
      </c>
      <c r="P57" s="186">
        <v>1</v>
      </c>
      <c r="Q57" s="179">
        <f t="shared" si="1"/>
        <v>26586</v>
      </c>
      <c r="R57" s="81"/>
      <c r="S57" s="119"/>
    </row>
    <row r="58" spans="1:19" s="18" customFormat="1" ht="15" customHeight="1">
      <c r="A58" s="457" t="s">
        <v>87</v>
      </c>
      <c r="B58" s="457" t="s">
        <v>66</v>
      </c>
      <c r="C58" s="275"/>
      <c r="D58" s="309"/>
      <c r="E58" s="86" t="s">
        <v>78</v>
      </c>
      <c r="F58" s="87">
        <v>40581</v>
      </c>
      <c r="G58" s="85">
        <v>1</v>
      </c>
      <c r="H58" s="268">
        <v>118.6875</v>
      </c>
      <c r="I58" s="99"/>
      <c r="J58" s="87">
        <v>40617</v>
      </c>
      <c r="K58" s="161">
        <v>120.6</v>
      </c>
      <c r="L58" s="885">
        <v>3.125E-2</v>
      </c>
      <c r="M58" s="103">
        <v>31.25</v>
      </c>
      <c r="N58" s="181">
        <f>SUM((H58-K58)/L58*M58)*G58</f>
        <v>-1912.4999999999943</v>
      </c>
      <c r="O58" s="180" t="s">
        <v>884</v>
      </c>
      <c r="P58" s="187">
        <v>1</v>
      </c>
      <c r="Q58" s="185">
        <f t="shared" si="1"/>
        <v>-1912.4999999999943</v>
      </c>
      <c r="R58" s="89"/>
      <c r="S58" s="120"/>
    </row>
    <row r="59" spans="1:19" s="100" customFormat="1" ht="15" customHeight="1">
      <c r="A59" s="446" t="s">
        <v>86</v>
      </c>
      <c r="B59" s="446" t="s">
        <v>85</v>
      </c>
      <c r="C59" s="275"/>
      <c r="D59" s="309"/>
      <c r="E59" s="84" t="s">
        <v>53</v>
      </c>
      <c r="F59" s="77">
        <v>40476</v>
      </c>
      <c r="G59" s="76">
        <v>1</v>
      </c>
      <c r="H59" s="267">
        <v>109.95</v>
      </c>
      <c r="I59" s="99"/>
      <c r="J59" s="77">
        <v>40617</v>
      </c>
      <c r="K59" s="148">
        <v>111.5</v>
      </c>
      <c r="L59" s="884">
        <v>2.5000000000000001E-2</v>
      </c>
      <c r="M59" s="88">
        <v>10</v>
      </c>
      <c r="N59" s="178">
        <f t="shared" ref="N59:N69" si="3">SUM((K59-H59)/L59*M59)*G59</f>
        <v>619.99999999999886</v>
      </c>
      <c r="O59" s="176" t="s">
        <v>884</v>
      </c>
      <c r="P59" s="186">
        <v>1</v>
      </c>
      <c r="Q59" s="179">
        <f t="shared" si="1"/>
        <v>619.99999999999886</v>
      </c>
      <c r="R59" s="81"/>
      <c r="S59" s="119"/>
    </row>
    <row r="60" spans="1:19" s="100" customFormat="1" ht="15" customHeight="1">
      <c r="A60" s="446" t="s">
        <v>86</v>
      </c>
      <c r="B60" s="446" t="s">
        <v>85</v>
      </c>
      <c r="C60" s="275"/>
      <c r="D60" s="309"/>
      <c r="E60" s="84" t="s">
        <v>53</v>
      </c>
      <c r="F60" s="77">
        <v>40508</v>
      </c>
      <c r="G60" s="76">
        <v>1</v>
      </c>
      <c r="H60" s="267">
        <v>107.387</v>
      </c>
      <c r="I60" s="99"/>
      <c r="J60" s="77">
        <v>40617</v>
      </c>
      <c r="K60" s="148">
        <f>K59</f>
        <v>111.5</v>
      </c>
      <c r="L60" s="884">
        <v>2.5000000000000001E-2</v>
      </c>
      <c r="M60" s="88">
        <v>10</v>
      </c>
      <c r="N60" s="178">
        <f t="shared" si="3"/>
        <v>1645.1999999999998</v>
      </c>
      <c r="O60" s="176" t="s">
        <v>884</v>
      </c>
      <c r="P60" s="186">
        <v>1</v>
      </c>
      <c r="Q60" s="179">
        <f t="shared" si="1"/>
        <v>1645.1999999999998</v>
      </c>
      <c r="R60" s="81"/>
      <c r="S60" s="119"/>
    </row>
    <row r="61" spans="1:19" s="100" customFormat="1" ht="15" customHeight="1">
      <c r="A61" s="446" t="s">
        <v>50</v>
      </c>
      <c r="B61" s="446" t="s">
        <v>49</v>
      </c>
      <c r="C61" s="275"/>
      <c r="D61" s="309"/>
      <c r="E61" s="84" t="s">
        <v>53</v>
      </c>
      <c r="F61" s="77">
        <v>40508</v>
      </c>
      <c r="G61" s="76">
        <v>1</v>
      </c>
      <c r="H61" s="267">
        <v>764.7</v>
      </c>
      <c r="I61" s="99"/>
      <c r="J61" s="77">
        <v>40637</v>
      </c>
      <c r="K61" s="148">
        <v>1009</v>
      </c>
      <c r="L61" s="884">
        <v>0.25</v>
      </c>
      <c r="M61" s="88">
        <v>25</v>
      </c>
      <c r="N61" s="178">
        <f t="shared" si="3"/>
        <v>24429.999999999996</v>
      </c>
      <c r="O61" s="176" t="s">
        <v>884</v>
      </c>
      <c r="P61" s="345">
        <v>1</v>
      </c>
      <c r="Q61" s="179">
        <f t="shared" si="1"/>
        <v>24429.999999999996</v>
      </c>
      <c r="R61" s="81"/>
      <c r="S61" s="119"/>
    </row>
    <row r="62" spans="1:19" s="100" customFormat="1" ht="15" customHeight="1">
      <c r="A62" s="446" t="s">
        <v>1</v>
      </c>
      <c r="B62" s="446" t="s">
        <v>2</v>
      </c>
      <c r="C62" s="275"/>
      <c r="D62" s="309"/>
      <c r="E62" s="84" t="s">
        <v>53</v>
      </c>
      <c r="F62" s="77">
        <v>40486</v>
      </c>
      <c r="G62" s="76">
        <v>1</v>
      </c>
      <c r="H62" s="267">
        <v>88.35</v>
      </c>
      <c r="I62" s="99"/>
      <c r="J62" s="77">
        <v>40637</v>
      </c>
      <c r="K62" s="148">
        <v>118.18</v>
      </c>
      <c r="L62" s="884">
        <v>0.01</v>
      </c>
      <c r="M62" s="88">
        <v>10</v>
      </c>
      <c r="N62" s="178">
        <f t="shared" si="3"/>
        <v>29830.000000000015</v>
      </c>
      <c r="O62" s="176" t="s">
        <v>884</v>
      </c>
      <c r="P62" s="345">
        <v>1</v>
      </c>
      <c r="Q62" s="179">
        <f t="shared" si="1"/>
        <v>29830.000000000015</v>
      </c>
      <c r="R62" s="81"/>
      <c r="S62" s="119"/>
    </row>
    <row r="63" spans="1:19" s="100" customFormat="1" ht="15" customHeight="1">
      <c r="A63" s="446" t="s">
        <v>1</v>
      </c>
      <c r="B63" s="446" t="s">
        <v>2</v>
      </c>
      <c r="C63" s="80" t="s">
        <v>93</v>
      </c>
      <c r="D63" s="309"/>
      <c r="E63" s="84" t="s">
        <v>53</v>
      </c>
      <c r="F63" s="77">
        <v>40637</v>
      </c>
      <c r="G63" s="76">
        <v>1</v>
      </c>
      <c r="H63" s="267">
        <v>119.05</v>
      </c>
      <c r="I63" s="99"/>
      <c r="J63" s="77">
        <v>40668</v>
      </c>
      <c r="K63" s="148">
        <v>115.1</v>
      </c>
      <c r="L63" s="884">
        <v>0.01</v>
      </c>
      <c r="M63" s="88">
        <v>10</v>
      </c>
      <c r="N63" s="178">
        <f t="shared" si="3"/>
        <v>-3950.0000000000027</v>
      </c>
      <c r="O63" s="176" t="s">
        <v>884</v>
      </c>
      <c r="P63" s="345">
        <v>1</v>
      </c>
      <c r="Q63" s="179">
        <f t="shared" si="1"/>
        <v>-3950.0000000000027</v>
      </c>
      <c r="R63" s="81"/>
      <c r="S63" s="119"/>
    </row>
    <row r="64" spans="1:19" s="100" customFormat="1" ht="15" customHeight="1">
      <c r="A64" s="446" t="s">
        <v>50</v>
      </c>
      <c r="B64" s="446" t="s">
        <v>49</v>
      </c>
      <c r="C64" s="80" t="s">
        <v>92</v>
      </c>
      <c r="D64" s="309"/>
      <c r="E64" s="84" t="s">
        <v>53</v>
      </c>
      <c r="F64" s="77">
        <v>40637</v>
      </c>
      <c r="G64" s="76">
        <v>2</v>
      </c>
      <c r="H64" s="267">
        <v>1003.375</v>
      </c>
      <c r="I64" s="99"/>
      <c r="J64" s="77">
        <v>40668</v>
      </c>
      <c r="K64" s="148">
        <v>979.5</v>
      </c>
      <c r="L64" s="884">
        <v>0.25</v>
      </c>
      <c r="M64" s="88">
        <v>25</v>
      </c>
      <c r="N64" s="178">
        <f t="shared" si="3"/>
        <v>-4775</v>
      </c>
      <c r="O64" s="176" t="s">
        <v>884</v>
      </c>
      <c r="P64" s="345">
        <v>1</v>
      </c>
      <c r="Q64" s="179">
        <f t="shared" si="1"/>
        <v>-4775</v>
      </c>
      <c r="R64" s="81"/>
      <c r="S64" s="119"/>
    </row>
    <row r="65" spans="1:19" s="100" customFormat="1" ht="15" customHeight="1">
      <c r="A65" s="446" t="s">
        <v>43</v>
      </c>
      <c r="B65" s="446" t="s">
        <v>44</v>
      </c>
      <c r="C65" s="80" t="s">
        <v>91</v>
      </c>
      <c r="D65" s="309"/>
      <c r="E65" s="84" t="s">
        <v>53</v>
      </c>
      <c r="F65" s="77">
        <v>40596</v>
      </c>
      <c r="G65" s="76">
        <v>1</v>
      </c>
      <c r="H65" s="267">
        <v>2.7273999999999998</v>
      </c>
      <c r="I65" s="99"/>
      <c r="J65" s="77">
        <v>40668</v>
      </c>
      <c r="K65" s="148">
        <v>3.0190000000000001</v>
      </c>
      <c r="L65" s="884">
        <v>1E-4</v>
      </c>
      <c r="M65" s="88">
        <v>4.2</v>
      </c>
      <c r="N65" s="178">
        <f t="shared" si="3"/>
        <v>12247.200000000012</v>
      </c>
      <c r="O65" s="176" t="s">
        <v>884</v>
      </c>
      <c r="P65" s="345">
        <v>1</v>
      </c>
      <c r="Q65" s="179">
        <f t="shared" si="1"/>
        <v>12247.200000000012</v>
      </c>
      <c r="R65" s="81"/>
      <c r="S65" s="119"/>
    </row>
    <row r="66" spans="1:19" s="100" customFormat="1" ht="15" customHeight="1">
      <c r="A66" s="446" t="s">
        <v>84</v>
      </c>
      <c r="B66" s="446" t="s">
        <v>83</v>
      </c>
      <c r="C66" s="80" t="s">
        <v>90</v>
      </c>
      <c r="D66" s="183"/>
      <c r="E66" s="84" t="s">
        <v>53</v>
      </c>
      <c r="F66" s="77">
        <v>40617</v>
      </c>
      <c r="G66" s="76">
        <v>2</v>
      </c>
      <c r="H66" s="267">
        <v>3.03</v>
      </c>
      <c r="I66" s="99"/>
      <c r="J66" s="77">
        <v>40668</v>
      </c>
      <c r="K66" s="148">
        <v>3.0910000000000002</v>
      </c>
      <c r="L66" s="884">
        <v>1E-4</v>
      </c>
      <c r="M66" s="88">
        <v>4.2</v>
      </c>
      <c r="N66" s="178">
        <f t="shared" si="3"/>
        <v>5124.0000000000327</v>
      </c>
      <c r="O66" s="176" t="s">
        <v>884</v>
      </c>
      <c r="P66" s="345">
        <v>1</v>
      </c>
      <c r="Q66" s="179">
        <f t="shared" si="1"/>
        <v>5124.0000000000327</v>
      </c>
      <c r="R66" s="81"/>
      <c r="S66" s="119"/>
    </row>
    <row r="67" spans="1:19" s="100" customFormat="1" ht="15" customHeight="1">
      <c r="A67" s="446" t="s">
        <v>82</v>
      </c>
      <c r="B67" s="446" t="s">
        <v>81</v>
      </c>
      <c r="C67" s="80" t="s">
        <v>89</v>
      </c>
      <c r="D67" s="183"/>
      <c r="E67" s="84" t="s">
        <v>53</v>
      </c>
      <c r="F67" s="77">
        <v>40617</v>
      </c>
      <c r="G67" s="76">
        <v>1</v>
      </c>
      <c r="H67" s="267">
        <v>100.98</v>
      </c>
      <c r="I67" s="99"/>
      <c r="J67" s="77">
        <v>40668</v>
      </c>
      <c r="K67" s="148">
        <v>107</v>
      </c>
      <c r="L67" s="884">
        <v>0.01</v>
      </c>
      <c r="M67" s="88">
        <v>10</v>
      </c>
      <c r="N67" s="178">
        <f t="shared" si="3"/>
        <v>6019.9999999999955</v>
      </c>
      <c r="O67" s="176" t="s">
        <v>884</v>
      </c>
      <c r="P67" s="345">
        <v>1</v>
      </c>
      <c r="Q67" s="179">
        <f t="shared" si="1"/>
        <v>6019.9999999999955</v>
      </c>
      <c r="R67" s="81"/>
      <c r="S67" s="119"/>
    </row>
    <row r="68" spans="1:19" s="100" customFormat="1" ht="15" customHeight="1">
      <c r="A68" s="446" t="s">
        <v>80</v>
      </c>
      <c r="B68" s="446" t="s">
        <v>79</v>
      </c>
      <c r="C68" s="80" t="s">
        <v>88</v>
      </c>
      <c r="D68" s="183"/>
      <c r="E68" s="84" t="s">
        <v>53</v>
      </c>
      <c r="F68" s="77">
        <v>40617</v>
      </c>
      <c r="G68" s="76">
        <v>1</v>
      </c>
      <c r="H68" s="267">
        <v>101.26</v>
      </c>
      <c r="I68" s="99"/>
      <c r="J68" s="77">
        <v>40668</v>
      </c>
      <c r="K68" s="148">
        <v>105.9</v>
      </c>
      <c r="L68" s="884">
        <v>0.01</v>
      </c>
      <c r="M68" s="88">
        <v>10</v>
      </c>
      <c r="N68" s="178">
        <f t="shared" si="3"/>
        <v>4640.0000000000009</v>
      </c>
      <c r="O68" s="176" t="s">
        <v>884</v>
      </c>
      <c r="P68" s="345">
        <v>1</v>
      </c>
      <c r="Q68" s="179">
        <f t="shared" si="1"/>
        <v>4640.0000000000009</v>
      </c>
      <c r="R68" s="81"/>
      <c r="S68" s="119"/>
    </row>
    <row r="69" spans="1:19" s="100" customFormat="1" ht="15" customHeight="1">
      <c r="A69" s="446" t="s">
        <v>80</v>
      </c>
      <c r="B69" s="446" t="s">
        <v>79</v>
      </c>
      <c r="C69" s="80" t="s">
        <v>88</v>
      </c>
      <c r="D69" s="309"/>
      <c r="E69" s="84" t="s">
        <v>53</v>
      </c>
      <c r="F69" s="77">
        <v>40624</v>
      </c>
      <c r="G69" s="76">
        <v>1</v>
      </c>
      <c r="H69" s="267">
        <v>105.2</v>
      </c>
      <c r="I69" s="99"/>
      <c r="J69" s="77">
        <v>40668</v>
      </c>
      <c r="K69" s="148">
        <f>K68</f>
        <v>105.9</v>
      </c>
      <c r="L69" s="884">
        <v>0.01</v>
      </c>
      <c r="M69" s="88">
        <v>10</v>
      </c>
      <c r="N69" s="178">
        <f t="shared" si="3"/>
        <v>700.00000000000284</v>
      </c>
      <c r="O69" s="176" t="s">
        <v>884</v>
      </c>
      <c r="P69" s="345">
        <v>1</v>
      </c>
      <c r="Q69" s="179">
        <f t="shared" si="1"/>
        <v>700.00000000000284</v>
      </c>
      <c r="R69" s="81"/>
      <c r="S69" s="119"/>
    </row>
    <row r="70" spans="1:19" s="18" customFormat="1" ht="15" customHeight="1">
      <c r="A70" s="456" t="s">
        <v>114</v>
      </c>
      <c r="B70" s="456" t="s">
        <v>113</v>
      </c>
      <c r="C70" s="17" t="s">
        <v>127</v>
      </c>
      <c r="D70" s="17" t="s">
        <v>136</v>
      </c>
      <c r="E70" s="17" t="s">
        <v>78</v>
      </c>
      <c r="F70" s="143">
        <v>40668</v>
      </c>
      <c r="G70" s="18">
        <v>2</v>
      </c>
      <c r="H70" s="269">
        <v>602.9</v>
      </c>
      <c r="I70" s="99"/>
      <c r="J70" s="143">
        <v>40669</v>
      </c>
      <c r="K70" s="153">
        <v>644.1</v>
      </c>
      <c r="L70" s="883">
        <v>0.25</v>
      </c>
      <c r="M70" s="184">
        <v>12.5</v>
      </c>
      <c r="N70" s="181">
        <f>SUM((H70-K70)/L70*M70)*G70</f>
        <v>-4120.0000000000045</v>
      </c>
      <c r="O70" s="18" t="s">
        <v>884</v>
      </c>
      <c r="P70" s="345">
        <v>1</v>
      </c>
      <c r="Q70" s="185">
        <f>SUM(N70*P70)</f>
        <v>-4120.0000000000045</v>
      </c>
      <c r="R70" s="174"/>
      <c r="S70" s="120"/>
    </row>
    <row r="71" spans="1:19" s="18" customFormat="1" ht="15" customHeight="1">
      <c r="A71" s="457" t="s">
        <v>61</v>
      </c>
      <c r="B71" s="457" t="s">
        <v>60</v>
      </c>
      <c r="C71" s="86" t="s">
        <v>129</v>
      </c>
      <c r="D71" s="86" t="s">
        <v>130</v>
      </c>
      <c r="E71" s="86" t="s">
        <v>78</v>
      </c>
      <c r="F71" s="87">
        <v>40608</v>
      </c>
      <c r="G71" s="85">
        <v>2</v>
      </c>
      <c r="H71" s="268">
        <v>107.185</v>
      </c>
      <c r="I71" s="99"/>
      <c r="J71" s="87">
        <v>40686</v>
      </c>
      <c r="K71" s="161">
        <v>107.6</v>
      </c>
      <c r="L71" s="885">
        <v>1</v>
      </c>
      <c r="M71" s="103">
        <v>13.4</v>
      </c>
      <c r="N71" s="181">
        <f>SUM((H71-K71)/L71*M71)*G71</f>
        <v>-11.121999999999787</v>
      </c>
      <c r="O71" s="85" t="s">
        <v>379</v>
      </c>
      <c r="P71" s="187">
        <v>1.4123399999999999</v>
      </c>
      <c r="Q71" s="185">
        <f t="shared" si="1"/>
        <v>-15.708045479999697</v>
      </c>
      <c r="R71" s="89"/>
      <c r="S71" s="120"/>
    </row>
    <row r="72" spans="1:19" s="100" customFormat="1" ht="15" customHeight="1">
      <c r="A72" s="446" t="s">
        <v>115</v>
      </c>
      <c r="B72" s="446" t="s">
        <v>72</v>
      </c>
      <c r="C72" s="80" t="s">
        <v>128</v>
      </c>
      <c r="D72" s="80" t="s">
        <v>131</v>
      </c>
      <c r="E72" s="84" t="s">
        <v>53</v>
      </c>
      <c r="F72" s="77">
        <v>40629</v>
      </c>
      <c r="G72" s="76">
        <v>1</v>
      </c>
      <c r="H72" s="267">
        <v>1353</v>
      </c>
      <c r="I72" s="99"/>
      <c r="J72" s="77">
        <v>40686</v>
      </c>
      <c r="K72" s="148">
        <v>1328</v>
      </c>
      <c r="L72" s="884">
        <v>0.25</v>
      </c>
      <c r="M72" s="88">
        <v>12.5</v>
      </c>
      <c r="N72" s="178">
        <f>SUM((K72-H72)/L72*M72)*G72</f>
        <v>-1250</v>
      </c>
      <c r="O72" s="78" t="s">
        <v>884</v>
      </c>
      <c r="P72" s="186">
        <v>1</v>
      </c>
      <c r="Q72" s="179">
        <f t="shared" si="1"/>
        <v>-1250</v>
      </c>
      <c r="R72" s="81"/>
      <c r="S72" s="119"/>
    </row>
    <row r="73" spans="1:19" s="18" customFormat="1" ht="15" customHeight="1">
      <c r="A73" s="456" t="s">
        <v>110</v>
      </c>
      <c r="B73" s="456" t="s">
        <v>70</v>
      </c>
      <c r="C73" s="17" t="s">
        <v>126</v>
      </c>
      <c r="D73" s="17" t="s">
        <v>131</v>
      </c>
      <c r="E73" s="17" t="s">
        <v>78</v>
      </c>
      <c r="F73" s="143">
        <v>40668</v>
      </c>
      <c r="G73" s="18">
        <v>2</v>
      </c>
      <c r="H73" s="269">
        <v>403.5</v>
      </c>
      <c r="I73" s="99"/>
      <c r="J73" s="143">
        <v>40786</v>
      </c>
      <c r="K73" s="153">
        <v>424.4</v>
      </c>
      <c r="L73" s="883">
        <v>0.05</v>
      </c>
      <c r="M73" s="184">
        <v>12.5</v>
      </c>
      <c r="N73" s="181">
        <f>SUM((H73-K73)/L73*M73)*G73</f>
        <v>-10449.999999999989</v>
      </c>
      <c r="O73" s="18" t="s">
        <v>884</v>
      </c>
      <c r="P73" s="187">
        <v>1</v>
      </c>
      <c r="Q73" s="185">
        <f t="shared" si="1"/>
        <v>-10449.999999999989</v>
      </c>
      <c r="R73" s="174"/>
      <c r="S73" s="120"/>
    </row>
    <row r="74" spans="1:19" s="100" customFormat="1" ht="15" customHeight="1">
      <c r="A74" s="446" t="s">
        <v>109</v>
      </c>
      <c r="B74" s="446" t="s">
        <v>108</v>
      </c>
      <c r="C74" s="80" t="s">
        <v>124</v>
      </c>
      <c r="D74" s="80" t="s">
        <v>135</v>
      </c>
      <c r="E74" s="84" t="s">
        <v>53</v>
      </c>
      <c r="F74" s="77">
        <v>40686</v>
      </c>
      <c r="G74" s="76">
        <v>1</v>
      </c>
      <c r="H74" s="267">
        <v>117.1</v>
      </c>
      <c r="I74" s="99"/>
      <c r="J74" s="77">
        <v>40792</v>
      </c>
      <c r="K74" s="148">
        <v>122.66</v>
      </c>
      <c r="L74" s="884">
        <v>0.01</v>
      </c>
      <c r="M74" s="88">
        <v>5</v>
      </c>
      <c r="N74" s="178">
        <f t="shared" ref="N74:N81" si="4">SUM((K74-H74)/L74*M74)*G74</f>
        <v>2780.0000000000009</v>
      </c>
      <c r="O74" s="78" t="s">
        <v>379</v>
      </c>
      <c r="P74" s="186">
        <v>1.4096500000000001</v>
      </c>
      <c r="Q74" s="179">
        <f t="shared" ref="Q74:Q81" si="5">SUM(N74*P74)</f>
        <v>3918.8270000000016</v>
      </c>
      <c r="R74" s="81"/>
      <c r="S74" s="119"/>
    </row>
    <row r="75" spans="1:19" s="100" customFormat="1" ht="15" customHeight="1">
      <c r="A75" s="446" t="s">
        <v>99</v>
      </c>
      <c r="B75" s="446" t="s">
        <v>98</v>
      </c>
      <c r="C75" s="80" t="s">
        <v>123</v>
      </c>
      <c r="D75" s="80" t="s">
        <v>135</v>
      </c>
      <c r="E75" s="84" t="s">
        <v>53</v>
      </c>
      <c r="F75" s="77">
        <v>40695</v>
      </c>
      <c r="G75" s="76">
        <v>1</v>
      </c>
      <c r="H75" s="267">
        <v>125.8</v>
      </c>
      <c r="I75" s="99"/>
      <c r="J75" s="77">
        <v>40792</v>
      </c>
      <c r="K75" s="148">
        <v>136.65</v>
      </c>
      <c r="L75" s="884">
        <v>0.01</v>
      </c>
      <c r="M75" s="88">
        <v>10</v>
      </c>
      <c r="N75" s="178">
        <f t="shared" si="4"/>
        <v>10850.000000000009</v>
      </c>
      <c r="O75" s="78" t="s">
        <v>379</v>
      </c>
      <c r="P75" s="186">
        <v>1.4096500000000001</v>
      </c>
      <c r="Q75" s="179">
        <f t="shared" si="5"/>
        <v>15294.702500000014</v>
      </c>
      <c r="R75" s="81"/>
      <c r="S75" s="119"/>
    </row>
    <row r="76" spans="1:19" s="100" customFormat="1" ht="15" customHeight="1">
      <c r="A76" s="446" t="s">
        <v>896</v>
      </c>
      <c r="B76" s="446" t="s">
        <v>100</v>
      </c>
      <c r="C76" s="80" t="s">
        <v>123</v>
      </c>
      <c r="D76" s="80" t="s">
        <v>135</v>
      </c>
      <c r="E76" s="84" t="s">
        <v>53</v>
      </c>
      <c r="F76" s="77">
        <v>40695</v>
      </c>
      <c r="G76" s="76">
        <v>1</v>
      </c>
      <c r="H76" s="267">
        <v>107.2</v>
      </c>
      <c r="I76" s="99"/>
      <c r="J76" s="77">
        <v>40792</v>
      </c>
      <c r="K76" s="148">
        <v>118.8</v>
      </c>
      <c r="L76" s="884">
        <v>0.01</v>
      </c>
      <c r="M76" s="88">
        <v>10</v>
      </c>
      <c r="N76" s="178">
        <f t="shared" si="4"/>
        <v>11599.999999999993</v>
      </c>
      <c r="O76" s="78" t="s">
        <v>379</v>
      </c>
      <c r="P76" s="186">
        <v>1.4096500000000001</v>
      </c>
      <c r="Q76" s="179">
        <f t="shared" si="5"/>
        <v>16351.939999999991</v>
      </c>
      <c r="R76" s="81"/>
      <c r="S76" s="119"/>
    </row>
    <row r="77" spans="1:19" s="100" customFormat="1" ht="15" customHeight="1">
      <c r="A77" s="446" t="s">
        <v>107</v>
      </c>
      <c r="B77" s="446" t="s">
        <v>106</v>
      </c>
      <c r="C77" s="80" t="s">
        <v>122</v>
      </c>
      <c r="D77" s="80" t="s">
        <v>134</v>
      </c>
      <c r="E77" s="84" t="s">
        <v>53</v>
      </c>
      <c r="F77" s="77">
        <v>40784</v>
      </c>
      <c r="G77" s="76">
        <v>1</v>
      </c>
      <c r="H77" s="267">
        <v>1436</v>
      </c>
      <c r="I77" s="99"/>
      <c r="J77" s="77">
        <v>40799</v>
      </c>
      <c r="K77" s="148">
        <v>1388</v>
      </c>
      <c r="L77" s="884">
        <v>0.25</v>
      </c>
      <c r="M77" s="88">
        <v>12.5</v>
      </c>
      <c r="N77" s="178">
        <f t="shared" si="4"/>
        <v>-2400</v>
      </c>
      <c r="O77" s="78" t="s">
        <v>884</v>
      </c>
      <c r="P77" s="186">
        <v>1</v>
      </c>
      <c r="Q77" s="179">
        <f t="shared" si="5"/>
        <v>-2400</v>
      </c>
      <c r="R77" s="81"/>
      <c r="S77" s="119"/>
    </row>
    <row r="78" spans="1:19" s="100" customFormat="1" ht="15" customHeight="1">
      <c r="A78" s="446" t="s">
        <v>105</v>
      </c>
      <c r="B78" s="446" t="s">
        <v>104</v>
      </c>
      <c r="C78" s="80" t="s">
        <v>121</v>
      </c>
      <c r="D78" s="80" t="s">
        <v>134</v>
      </c>
      <c r="E78" s="84" t="s">
        <v>53</v>
      </c>
      <c r="F78" s="77">
        <v>40785</v>
      </c>
      <c r="G78" s="76">
        <v>1</v>
      </c>
      <c r="H78" s="267">
        <v>173.3</v>
      </c>
      <c r="I78" s="99"/>
      <c r="J78" s="77">
        <v>40799</v>
      </c>
      <c r="K78" s="148">
        <v>165.8</v>
      </c>
      <c r="L78" s="884">
        <v>0.05</v>
      </c>
      <c r="M78" s="88">
        <v>7.9</v>
      </c>
      <c r="N78" s="178">
        <f t="shared" si="4"/>
        <v>-1185</v>
      </c>
      <c r="O78" s="78" t="s">
        <v>884</v>
      </c>
      <c r="P78" s="186">
        <v>1</v>
      </c>
      <c r="Q78" s="179">
        <f t="shared" si="5"/>
        <v>-1185</v>
      </c>
      <c r="R78" s="81"/>
      <c r="S78" s="119"/>
    </row>
    <row r="79" spans="1:19" s="100" customFormat="1" ht="15" customHeight="1">
      <c r="A79" s="506" t="s">
        <v>103</v>
      </c>
      <c r="B79" s="506" t="s">
        <v>102</v>
      </c>
      <c r="C79" s="2" t="s">
        <v>120</v>
      </c>
      <c r="D79" s="2" t="s">
        <v>133</v>
      </c>
      <c r="E79" s="196" t="s">
        <v>53</v>
      </c>
      <c r="F79" s="197">
        <v>40785</v>
      </c>
      <c r="G79" s="195">
        <v>1</v>
      </c>
      <c r="H79" s="270">
        <v>122.90600000000001</v>
      </c>
      <c r="I79" s="99"/>
      <c r="J79" s="197">
        <v>40809</v>
      </c>
      <c r="K79" s="198">
        <v>122.9</v>
      </c>
      <c r="L79" s="886">
        <v>0.01</v>
      </c>
      <c r="M79" s="238">
        <v>9.93</v>
      </c>
      <c r="N79" s="178">
        <f t="shared" si="4"/>
        <v>-5.9580000000002258</v>
      </c>
      <c r="O79" s="8" t="s">
        <v>884</v>
      </c>
      <c r="P79" s="186">
        <v>1</v>
      </c>
      <c r="Q79" s="179">
        <f t="shared" si="5"/>
        <v>-5.9580000000002258</v>
      </c>
      <c r="R79" s="239"/>
      <c r="S79" s="119"/>
    </row>
    <row r="80" spans="1:19" s="100" customFormat="1" ht="15" customHeight="1">
      <c r="A80" s="506" t="s">
        <v>99</v>
      </c>
      <c r="B80" s="506" t="s">
        <v>98</v>
      </c>
      <c r="C80" s="2" t="s">
        <v>118</v>
      </c>
      <c r="D80" s="2" t="s">
        <v>133</v>
      </c>
      <c r="E80" s="196" t="s">
        <v>53</v>
      </c>
      <c r="F80" s="197">
        <v>40792</v>
      </c>
      <c r="G80" s="195">
        <v>1</v>
      </c>
      <c r="H80" s="270">
        <v>135.11000000000001</v>
      </c>
      <c r="I80" s="99"/>
      <c r="J80" s="197">
        <v>40813</v>
      </c>
      <c r="K80" s="198">
        <v>133.4</v>
      </c>
      <c r="L80" s="886">
        <v>0.01</v>
      </c>
      <c r="M80" s="238">
        <v>10</v>
      </c>
      <c r="N80" s="178">
        <f t="shared" si="4"/>
        <v>-1710.000000000008</v>
      </c>
      <c r="O80" s="8" t="s">
        <v>379</v>
      </c>
      <c r="P80" s="186">
        <v>1.35327</v>
      </c>
      <c r="Q80" s="179">
        <f t="shared" si="5"/>
        <v>-2314.0917000000109</v>
      </c>
      <c r="R80" s="239"/>
      <c r="S80" s="119"/>
    </row>
    <row r="81" spans="1:19" s="100" customFormat="1" ht="15" customHeight="1">
      <c r="A81" s="446" t="s">
        <v>101</v>
      </c>
      <c r="B81" s="446" t="s">
        <v>100</v>
      </c>
      <c r="C81" s="80" t="s">
        <v>119</v>
      </c>
      <c r="D81" s="80" t="s">
        <v>133</v>
      </c>
      <c r="E81" s="84" t="s">
        <v>53</v>
      </c>
      <c r="F81" s="77">
        <v>40792</v>
      </c>
      <c r="G81" s="76">
        <v>1</v>
      </c>
      <c r="H81" s="267">
        <v>117.86</v>
      </c>
      <c r="I81" s="99"/>
      <c r="J81" s="77">
        <v>40826</v>
      </c>
      <c r="K81" s="148">
        <v>119.8</v>
      </c>
      <c r="L81" s="884">
        <v>0.01</v>
      </c>
      <c r="M81" s="88">
        <v>10</v>
      </c>
      <c r="N81" s="178">
        <f t="shared" si="4"/>
        <v>1939.9999999999977</v>
      </c>
      <c r="O81" s="78" t="s">
        <v>379</v>
      </c>
      <c r="P81" s="186">
        <v>1.3386499999999999</v>
      </c>
      <c r="Q81" s="179">
        <f t="shared" si="5"/>
        <v>2596.9809999999966</v>
      </c>
      <c r="R81" s="81"/>
      <c r="S81" s="119"/>
    </row>
    <row r="82" spans="1:19" s="100" customFormat="1" ht="15" customHeight="1">
      <c r="A82" s="506" t="s">
        <v>97</v>
      </c>
      <c r="B82" s="506" t="s">
        <v>96</v>
      </c>
      <c r="C82" s="2" t="s">
        <v>125</v>
      </c>
      <c r="D82" s="2" t="s">
        <v>135</v>
      </c>
      <c r="E82" s="196" t="s">
        <v>53</v>
      </c>
      <c r="F82" s="197">
        <v>40686</v>
      </c>
      <c r="G82" s="195">
        <v>1</v>
      </c>
      <c r="H82" s="270">
        <v>94.71</v>
      </c>
      <c r="I82" s="99"/>
      <c r="J82" s="197">
        <v>40833</v>
      </c>
      <c r="K82" s="198">
        <v>95.275000000000006</v>
      </c>
      <c r="L82" s="886">
        <v>5.0000000000000001E-3</v>
      </c>
      <c r="M82" s="238">
        <v>40</v>
      </c>
      <c r="N82" s="178">
        <f>SUM((K82-H82)/L82*M82)*G82</f>
        <v>4520.0000000000955</v>
      </c>
      <c r="O82" s="8" t="s">
        <v>884</v>
      </c>
      <c r="P82" s="186">
        <v>1</v>
      </c>
      <c r="Q82" s="179">
        <f t="shared" si="1"/>
        <v>4520.0000000000955</v>
      </c>
      <c r="R82" s="239"/>
      <c r="S82" s="119"/>
    </row>
    <row r="83" spans="1:19" s="100" customFormat="1" ht="15" customHeight="1">
      <c r="A83" s="506" t="s">
        <v>109</v>
      </c>
      <c r="B83" s="506" t="s">
        <v>108</v>
      </c>
      <c r="C83" s="2" t="s">
        <v>362</v>
      </c>
      <c r="D83" s="2" t="s">
        <v>132</v>
      </c>
      <c r="E83" s="196" t="s">
        <v>53</v>
      </c>
      <c r="F83" s="197">
        <v>40792</v>
      </c>
      <c r="G83" s="195">
        <v>1</v>
      </c>
      <c r="H83" s="270">
        <v>116.9</v>
      </c>
      <c r="I83" s="99" t="s">
        <v>1041</v>
      </c>
      <c r="J83" s="197">
        <v>40834</v>
      </c>
      <c r="K83" s="198">
        <v>125.3</v>
      </c>
      <c r="L83" s="886">
        <v>0.01</v>
      </c>
      <c r="M83" s="238">
        <v>5</v>
      </c>
      <c r="N83" s="178">
        <f>SUM((K83-H83)/L83*M83)*G83</f>
        <v>4199.9999999999955</v>
      </c>
      <c r="O83" s="8" t="s">
        <v>379</v>
      </c>
      <c r="P83" s="186">
        <v>1.37371</v>
      </c>
      <c r="Q83" s="179">
        <f t="shared" ref="Q83:Q90" si="6">SUM(N83*P83)</f>
        <v>5769.581999999994</v>
      </c>
      <c r="R83" s="239"/>
      <c r="S83" s="119"/>
    </row>
    <row r="84" spans="1:19" s="100" customFormat="1" ht="15" customHeight="1">
      <c r="A84" s="506" t="s">
        <v>109</v>
      </c>
      <c r="B84" s="506" t="s">
        <v>108</v>
      </c>
      <c r="C84" s="2" t="s">
        <v>362</v>
      </c>
      <c r="D84" s="2" t="s">
        <v>132</v>
      </c>
      <c r="E84" s="196" t="s">
        <v>53</v>
      </c>
      <c r="F84" s="197">
        <v>40891</v>
      </c>
      <c r="G84" s="195">
        <v>1</v>
      </c>
      <c r="H84" s="270">
        <v>124.2</v>
      </c>
      <c r="I84" s="99"/>
      <c r="J84" s="197">
        <v>40834</v>
      </c>
      <c r="K84" s="198">
        <v>125.3</v>
      </c>
      <c r="L84" s="886">
        <v>0.01</v>
      </c>
      <c r="M84" s="238">
        <v>5</v>
      </c>
      <c r="N84" s="178">
        <f>SUM((K84-H84)/L84*M84)*G84</f>
        <v>549.99999999999716</v>
      </c>
      <c r="O84" s="8" t="s">
        <v>379</v>
      </c>
      <c r="P84" s="186">
        <v>1.37371</v>
      </c>
      <c r="Q84" s="179">
        <f t="shared" si="6"/>
        <v>755.54049999999609</v>
      </c>
      <c r="R84" s="239"/>
      <c r="S84" s="119"/>
    </row>
    <row r="85" spans="1:19" s="18" customFormat="1" ht="15" customHeight="1">
      <c r="A85" s="456" t="s">
        <v>894</v>
      </c>
      <c r="B85" s="456" t="s">
        <v>361</v>
      </c>
      <c r="C85" s="275"/>
      <c r="D85" s="275"/>
      <c r="E85" s="17" t="s">
        <v>78</v>
      </c>
      <c r="F85" s="143">
        <v>40891</v>
      </c>
      <c r="G85" s="18">
        <v>1</v>
      </c>
      <c r="H85" s="269">
        <v>219.8</v>
      </c>
      <c r="I85" s="99"/>
      <c r="J85" s="143">
        <v>40905</v>
      </c>
      <c r="K85" s="153">
        <v>222.86</v>
      </c>
      <c r="L85" s="883">
        <v>0.05</v>
      </c>
      <c r="M85" s="184">
        <v>12.5</v>
      </c>
      <c r="N85" s="181">
        <f>SUM((H85-K85)/L85*M85)*G85</f>
        <v>-765.00000000000057</v>
      </c>
      <c r="O85" s="18" t="s">
        <v>884</v>
      </c>
      <c r="P85" s="187">
        <v>1</v>
      </c>
      <c r="Q85" s="185">
        <f t="shared" si="6"/>
        <v>-765.00000000000057</v>
      </c>
      <c r="R85" s="174"/>
      <c r="S85" s="120"/>
    </row>
    <row r="86" spans="1:19" s="100" customFormat="1" ht="15" customHeight="1">
      <c r="A86" s="446" t="s">
        <v>95</v>
      </c>
      <c r="B86" s="446" t="s">
        <v>94</v>
      </c>
      <c r="C86" s="80" t="s">
        <v>116</v>
      </c>
      <c r="D86" s="80" t="s">
        <v>132</v>
      </c>
      <c r="E86" s="84" t="s">
        <v>53</v>
      </c>
      <c r="F86" s="77">
        <v>40893</v>
      </c>
      <c r="G86" s="76">
        <v>1</v>
      </c>
      <c r="H86" s="267">
        <v>116.22</v>
      </c>
      <c r="I86" s="99"/>
      <c r="J86" s="77">
        <v>40932</v>
      </c>
      <c r="K86" s="148">
        <v>115.2</v>
      </c>
      <c r="L86" s="884">
        <v>0.01</v>
      </c>
      <c r="M86" s="88">
        <v>10</v>
      </c>
      <c r="N86" s="178">
        <f t="shared" ref="N86:N91" si="7">SUM((K86-H86)/L86*M86)*G86</f>
        <v>-1019.999999999996</v>
      </c>
      <c r="O86" s="78" t="s">
        <v>380</v>
      </c>
      <c r="P86" s="186">
        <v>1.5565899999999999</v>
      </c>
      <c r="Q86" s="179">
        <f t="shared" si="6"/>
        <v>-1587.7217999999937</v>
      </c>
      <c r="R86" s="81"/>
      <c r="S86" s="119"/>
    </row>
    <row r="87" spans="1:19" s="100" customFormat="1" ht="15" customHeight="1">
      <c r="A87" s="446" t="s">
        <v>97</v>
      </c>
      <c r="B87" s="446" t="s">
        <v>96</v>
      </c>
      <c r="C87" s="80" t="s">
        <v>117</v>
      </c>
      <c r="D87" s="80" t="s">
        <v>132</v>
      </c>
      <c r="E87" s="84" t="s">
        <v>53</v>
      </c>
      <c r="F87" s="77">
        <v>40686</v>
      </c>
      <c r="G87" s="76">
        <v>1</v>
      </c>
      <c r="H87" s="267">
        <v>94.71</v>
      </c>
      <c r="I87" s="99"/>
      <c r="J87" s="77">
        <v>40947</v>
      </c>
      <c r="K87" s="148">
        <v>95.97</v>
      </c>
      <c r="L87" s="884">
        <v>5.0000000000000001E-3</v>
      </c>
      <c r="M87" s="88">
        <v>40</v>
      </c>
      <c r="N87" s="178">
        <f t="shared" si="7"/>
        <v>10080.00000000004</v>
      </c>
      <c r="O87" s="78" t="s">
        <v>884</v>
      </c>
      <c r="P87" s="186">
        <v>1</v>
      </c>
      <c r="Q87" s="179">
        <f t="shared" si="6"/>
        <v>10080.00000000004</v>
      </c>
      <c r="R87" s="81"/>
      <c r="S87" s="119"/>
    </row>
    <row r="88" spans="1:19" s="100" customFormat="1" ht="15" customHeight="1">
      <c r="A88" s="446" t="s">
        <v>84</v>
      </c>
      <c r="B88" s="446" t="s">
        <v>83</v>
      </c>
      <c r="C88" s="307"/>
      <c r="D88" s="307"/>
      <c r="E88" s="84" t="s">
        <v>53</v>
      </c>
      <c r="F88" s="77">
        <v>40961</v>
      </c>
      <c r="G88" s="76">
        <v>1</v>
      </c>
      <c r="H88" s="267">
        <v>3.2724000000000002</v>
      </c>
      <c r="I88" s="99"/>
      <c r="J88" s="77">
        <v>40968</v>
      </c>
      <c r="K88" s="148">
        <v>3.1779999999999999</v>
      </c>
      <c r="L88" s="884">
        <v>1E-4</v>
      </c>
      <c r="M88" s="88">
        <v>4.2</v>
      </c>
      <c r="N88" s="178">
        <f t="shared" si="7"/>
        <v>-3964.8000000000111</v>
      </c>
      <c r="O88" s="78" t="s">
        <v>884</v>
      </c>
      <c r="P88" s="186">
        <v>1</v>
      </c>
      <c r="Q88" s="179">
        <f t="shared" si="6"/>
        <v>-3964.8000000000111</v>
      </c>
      <c r="R88" s="81"/>
      <c r="S88" s="119"/>
    </row>
    <row r="89" spans="1:19" s="100" customFormat="1" ht="15" customHeight="1">
      <c r="A89" s="446" t="s">
        <v>115</v>
      </c>
      <c r="B89" s="446" t="s">
        <v>72</v>
      </c>
      <c r="C89" s="307"/>
      <c r="D89" s="307"/>
      <c r="E89" s="84" t="s">
        <v>53</v>
      </c>
      <c r="F89" s="77">
        <v>40629</v>
      </c>
      <c r="G89" s="76">
        <v>1</v>
      </c>
      <c r="H89" s="267">
        <v>1367</v>
      </c>
      <c r="I89" s="99"/>
      <c r="J89" s="77">
        <v>40974</v>
      </c>
      <c r="K89" s="148">
        <v>1346</v>
      </c>
      <c r="L89" s="884">
        <v>0.25</v>
      </c>
      <c r="M89" s="88">
        <v>12.5</v>
      </c>
      <c r="N89" s="178">
        <f t="shared" si="7"/>
        <v>-1050</v>
      </c>
      <c r="O89" s="78" t="s">
        <v>884</v>
      </c>
      <c r="P89" s="186">
        <v>1</v>
      </c>
      <c r="Q89" s="179">
        <f t="shared" si="6"/>
        <v>-1050</v>
      </c>
      <c r="R89" s="81"/>
      <c r="S89" s="119"/>
    </row>
    <row r="90" spans="1:19" s="100" customFormat="1" ht="15" customHeight="1">
      <c r="A90" s="446" t="s">
        <v>55</v>
      </c>
      <c r="B90" s="446" t="s">
        <v>54</v>
      </c>
      <c r="C90" s="307"/>
      <c r="D90" s="307"/>
      <c r="E90" s="84" t="s">
        <v>53</v>
      </c>
      <c r="F90" s="77">
        <v>40960</v>
      </c>
      <c r="G90" s="76">
        <v>2</v>
      </c>
      <c r="H90" s="267">
        <v>2557</v>
      </c>
      <c r="I90" s="99"/>
      <c r="J90" s="77">
        <v>40974</v>
      </c>
      <c r="K90" s="148">
        <v>2447</v>
      </c>
      <c r="L90" s="884">
        <v>1</v>
      </c>
      <c r="M90" s="88">
        <v>25.5</v>
      </c>
      <c r="N90" s="178">
        <f t="shared" si="7"/>
        <v>-5610</v>
      </c>
      <c r="O90" s="78" t="s">
        <v>379</v>
      </c>
      <c r="P90" s="186">
        <v>1.32159</v>
      </c>
      <c r="Q90" s="179">
        <f t="shared" si="6"/>
        <v>-7414.1199000000006</v>
      </c>
      <c r="R90" s="81"/>
      <c r="S90" s="119"/>
    </row>
    <row r="91" spans="1:19" s="100" customFormat="1" ht="15" customHeight="1">
      <c r="A91" s="446" t="s">
        <v>359</v>
      </c>
      <c r="B91" s="446" t="s">
        <v>360</v>
      </c>
      <c r="C91" s="307"/>
      <c r="D91" s="307"/>
      <c r="E91" s="84" t="s">
        <v>53</v>
      </c>
      <c r="F91" s="77">
        <v>40892</v>
      </c>
      <c r="G91" s="76">
        <v>1</v>
      </c>
      <c r="H91" s="267">
        <v>110.2</v>
      </c>
      <c r="I91" s="99"/>
      <c r="J91" s="77">
        <v>40980</v>
      </c>
      <c r="K91" s="148">
        <v>110.3</v>
      </c>
      <c r="L91" s="884">
        <v>5.0000000000000001E-3</v>
      </c>
      <c r="M91" s="88">
        <v>5</v>
      </c>
      <c r="N91" s="178">
        <f t="shared" si="7"/>
        <v>99.999999999994316</v>
      </c>
      <c r="O91" s="78" t="s">
        <v>379</v>
      </c>
      <c r="P91" s="186">
        <v>1.3103400000000001</v>
      </c>
      <c r="Q91" s="179">
        <f t="shared" si="1"/>
        <v>131.03399999999255</v>
      </c>
      <c r="R91" s="81"/>
      <c r="S91" s="119"/>
    </row>
    <row r="92" spans="1:19" s="100" customFormat="1" ht="15" customHeight="1">
      <c r="A92" s="446" t="s">
        <v>103</v>
      </c>
      <c r="B92" s="446" t="s">
        <v>102</v>
      </c>
      <c r="C92" s="307"/>
      <c r="D92" s="307"/>
      <c r="E92" s="84" t="s">
        <v>53</v>
      </c>
      <c r="F92" s="77">
        <v>40933</v>
      </c>
      <c r="G92" s="76">
        <v>1</v>
      </c>
      <c r="H92" s="267">
        <v>123.89</v>
      </c>
      <c r="I92" s="99"/>
      <c r="J92" s="77">
        <v>40987</v>
      </c>
      <c r="K92" s="148">
        <v>122.8</v>
      </c>
      <c r="L92" s="884">
        <v>0.01</v>
      </c>
      <c r="M92" s="88">
        <v>9.93</v>
      </c>
      <c r="N92" s="178">
        <f t="shared" ref="N92:N99" si="8">SUM((K92-H92)/L92*M92)*G92</f>
        <v>-1082.3700000000033</v>
      </c>
      <c r="O92" s="78" t="s">
        <v>884</v>
      </c>
      <c r="P92" s="186">
        <v>1</v>
      </c>
      <c r="Q92" s="179">
        <f t="shared" si="1"/>
        <v>-1082.3700000000033</v>
      </c>
      <c r="R92" s="81"/>
      <c r="S92" s="119"/>
    </row>
    <row r="93" spans="1:19" s="100" customFormat="1" ht="15" customHeight="1">
      <c r="A93" s="498" t="s">
        <v>75</v>
      </c>
      <c r="B93" s="498" t="s">
        <v>74</v>
      </c>
      <c r="C93" s="307"/>
      <c r="D93" s="307"/>
      <c r="E93" s="80" t="s">
        <v>53</v>
      </c>
      <c r="F93" s="79">
        <v>40981</v>
      </c>
      <c r="G93" s="78">
        <v>1</v>
      </c>
      <c r="H93" s="266">
        <v>7055</v>
      </c>
      <c r="I93" s="99"/>
      <c r="J93" s="79">
        <v>40997</v>
      </c>
      <c r="K93" s="255">
        <v>6896</v>
      </c>
      <c r="L93" s="887">
        <v>0.5</v>
      </c>
      <c r="M93" s="102">
        <v>16.96</v>
      </c>
      <c r="N93" s="178">
        <f t="shared" si="8"/>
        <v>-5393.2800000000007</v>
      </c>
      <c r="O93" s="78" t="s">
        <v>379</v>
      </c>
      <c r="P93" s="186">
        <v>1.3315699999999999</v>
      </c>
      <c r="Q93" s="179">
        <f t="shared" ref="Q93:Q111" si="9">SUM(N93*P93)</f>
        <v>-7181.5298496000005</v>
      </c>
      <c r="R93" s="81"/>
      <c r="S93" s="119"/>
    </row>
    <row r="94" spans="1:19" s="100" customFormat="1" ht="15" customHeight="1">
      <c r="A94" s="498" t="s">
        <v>80</v>
      </c>
      <c r="B94" s="498" t="s">
        <v>79</v>
      </c>
      <c r="C94" s="307"/>
      <c r="D94" s="307"/>
      <c r="E94" s="80" t="s">
        <v>53</v>
      </c>
      <c r="F94" s="79">
        <v>40606</v>
      </c>
      <c r="G94" s="78">
        <v>1</v>
      </c>
      <c r="H94" s="266">
        <v>105.3</v>
      </c>
      <c r="I94" s="99"/>
      <c r="J94" s="79">
        <v>41001</v>
      </c>
      <c r="K94" s="255">
        <v>102.06</v>
      </c>
      <c r="L94" s="887">
        <v>0.01</v>
      </c>
      <c r="M94" s="102">
        <v>10</v>
      </c>
      <c r="N94" s="178">
        <f t="shared" si="8"/>
        <v>-3239.999999999995</v>
      </c>
      <c r="O94" s="78" t="s">
        <v>884</v>
      </c>
      <c r="P94" s="186">
        <v>1</v>
      </c>
      <c r="Q94" s="179">
        <f t="shared" si="9"/>
        <v>-3239.999999999995</v>
      </c>
      <c r="R94" s="81"/>
      <c r="S94" s="119"/>
    </row>
    <row r="95" spans="1:19" s="100" customFormat="1" ht="15" customHeight="1">
      <c r="A95" s="498" t="s">
        <v>57</v>
      </c>
      <c r="B95" s="498" t="s">
        <v>56</v>
      </c>
      <c r="C95" s="307"/>
      <c r="D95" s="307"/>
      <c r="E95" s="80" t="s">
        <v>53</v>
      </c>
      <c r="F95" s="79">
        <v>40588</v>
      </c>
      <c r="G95" s="78">
        <v>1</v>
      </c>
      <c r="H95" s="266">
        <v>3470.5</v>
      </c>
      <c r="I95" s="99"/>
      <c r="J95" s="79">
        <v>41002</v>
      </c>
      <c r="K95" s="255">
        <v>3339</v>
      </c>
      <c r="L95" s="887">
        <v>1</v>
      </c>
      <c r="M95" s="102">
        <v>13.4</v>
      </c>
      <c r="N95" s="178">
        <f t="shared" si="8"/>
        <v>-1762.1000000000001</v>
      </c>
      <c r="O95" s="78" t="s">
        <v>379</v>
      </c>
      <c r="P95" s="186">
        <v>1.3319300000000001</v>
      </c>
      <c r="Q95" s="179">
        <f t="shared" si="9"/>
        <v>-2346.9938530000004</v>
      </c>
      <c r="R95" s="81"/>
      <c r="S95" s="119"/>
    </row>
    <row r="96" spans="1:19" s="100" customFormat="1" ht="15" customHeight="1">
      <c r="A96" s="498" t="s">
        <v>82</v>
      </c>
      <c r="B96" s="498" t="s">
        <v>81</v>
      </c>
      <c r="C96" s="307"/>
      <c r="D96" s="307"/>
      <c r="E96" s="80" t="s">
        <v>53</v>
      </c>
      <c r="F96" s="79">
        <v>40960</v>
      </c>
      <c r="G96" s="78">
        <v>1</v>
      </c>
      <c r="H96" s="266">
        <v>105.36</v>
      </c>
      <c r="I96" s="99"/>
      <c r="J96" s="79">
        <v>41003</v>
      </c>
      <c r="K96" s="255">
        <v>101.8</v>
      </c>
      <c r="L96" s="887">
        <v>0.01</v>
      </c>
      <c r="M96" s="102">
        <v>10</v>
      </c>
      <c r="N96" s="178">
        <f t="shared" si="8"/>
        <v>-3560.0000000000023</v>
      </c>
      <c r="O96" s="78" t="s">
        <v>884</v>
      </c>
      <c r="P96" s="186">
        <v>1</v>
      </c>
      <c r="Q96" s="179">
        <f t="shared" si="9"/>
        <v>-3560.0000000000023</v>
      </c>
      <c r="R96" s="81"/>
      <c r="S96" s="119"/>
    </row>
    <row r="97" spans="1:19" s="100" customFormat="1" ht="15" customHeight="1">
      <c r="A97" s="498" t="s">
        <v>50</v>
      </c>
      <c r="B97" s="498" t="s">
        <v>49</v>
      </c>
      <c r="C97" s="307"/>
      <c r="D97" s="307"/>
      <c r="E97" s="80" t="s">
        <v>53</v>
      </c>
      <c r="F97" s="79">
        <v>40960</v>
      </c>
      <c r="G97" s="78">
        <v>2</v>
      </c>
      <c r="H97" s="266">
        <v>1010.15</v>
      </c>
      <c r="I97" s="99"/>
      <c r="J97" s="79">
        <v>41009</v>
      </c>
      <c r="K97" s="255">
        <v>998.7</v>
      </c>
      <c r="L97" s="887">
        <v>0.25</v>
      </c>
      <c r="M97" s="102">
        <v>25</v>
      </c>
      <c r="N97" s="178">
        <f t="shared" si="8"/>
        <v>-2289.9999999999864</v>
      </c>
      <c r="O97" s="78" t="s">
        <v>884</v>
      </c>
      <c r="P97" s="186">
        <v>1</v>
      </c>
      <c r="Q97" s="179">
        <f t="shared" si="9"/>
        <v>-2289.9999999999864</v>
      </c>
      <c r="R97" s="81"/>
      <c r="S97" s="119"/>
    </row>
    <row r="98" spans="1:19" s="100" customFormat="1" ht="15" customHeight="1">
      <c r="A98" s="498" t="s">
        <v>1</v>
      </c>
      <c r="B98" s="498" t="s">
        <v>2</v>
      </c>
      <c r="C98" s="307"/>
      <c r="D98" s="307"/>
      <c r="E98" s="80" t="s">
        <v>53</v>
      </c>
      <c r="F98" s="79">
        <v>40948</v>
      </c>
      <c r="G98" s="78">
        <v>1</v>
      </c>
      <c r="H98" s="266">
        <v>117.6</v>
      </c>
      <c r="I98" s="99"/>
      <c r="J98" s="79">
        <v>41015</v>
      </c>
      <c r="K98" s="255">
        <v>118.7</v>
      </c>
      <c r="L98" s="887">
        <v>0.01</v>
      </c>
      <c r="M98" s="102">
        <v>10</v>
      </c>
      <c r="N98" s="178">
        <f t="shared" si="8"/>
        <v>1100.0000000000086</v>
      </c>
      <c r="O98" s="78" t="s">
        <v>884</v>
      </c>
      <c r="P98" s="186">
        <v>1</v>
      </c>
      <c r="Q98" s="179">
        <f t="shared" si="9"/>
        <v>1100.0000000000086</v>
      </c>
      <c r="R98" s="81"/>
      <c r="S98" s="119"/>
    </row>
    <row r="99" spans="1:19" s="100" customFormat="1" ht="15" customHeight="1">
      <c r="A99" s="498" t="s">
        <v>43</v>
      </c>
      <c r="B99" s="498" t="s">
        <v>44</v>
      </c>
      <c r="C99" s="307"/>
      <c r="D99" s="307"/>
      <c r="E99" s="80" t="s">
        <v>53</v>
      </c>
      <c r="F99" s="79">
        <v>40955</v>
      </c>
      <c r="G99" s="78">
        <v>1</v>
      </c>
      <c r="H99" s="266">
        <v>3.0396000000000001</v>
      </c>
      <c r="I99" s="99"/>
      <c r="J99" s="79">
        <v>41017</v>
      </c>
      <c r="K99" s="255">
        <v>3.177</v>
      </c>
      <c r="L99" s="887">
        <v>1E-4</v>
      </c>
      <c r="M99" s="102">
        <v>4.2</v>
      </c>
      <c r="N99" s="178">
        <f t="shared" si="8"/>
        <v>5770.7999999999984</v>
      </c>
      <c r="O99" s="78" t="s">
        <v>884</v>
      </c>
      <c r="P99" s="345">
        <v>1</v>
      </c>
      <c r="Q99" s="179">
        <f t="shared" si="9"/>
        <v>5770.7999999999984</v>
      </c>
      <c r="R99" s="81"/>
      <c r="S99" s="119"/>
    </row>
    <row r="100" spans="1:19" s="18" customFormat="1" ht="15" customHeight="1">
      <c r="A100" s="456" t="s">
        <v>381</v>
      </c>
      <c r="B100" s="456" t="s">
        <v>388</v>
      </c>
      <c r="C100" s="275"/>
      <c r="D100" s="275"/>
      <c r="E100" s="17" t="s">
        <v>78</v>
      </c>
      <c r="F100" s="143">
        <v>41059</v>
      </c>
      <c r="G100" s="18">
        <v>1</v>
      </c>
      <c r="H100" s="269">
        <v>1.0312399999999999</v>
      </c>
      <c r="I100" s="99"/>
      <c r="J100" s="143">
        <v>41071</v>
      </c>
      <c r="K100" s="153">
        <v>1.0580000000000001</v>
      </c>
      <c r="L100" s="883">
        <v>1E-4</v>
      </c>
      <c r="M100" s="184">
        <v>12.5</v>
      </c>
      <c r="N100" s="181">
        <f>SUM((H100-K100)/L100*M100)*G100</f>
        <v>-3345.0000000000146</v>
      </c>
      <c r="O100" s="18" t="s">
        <v>884</v>
      </c>
      <c r="P100" s="345">
        <v>1</v>
      </c>
      <c r="Q100" s="185">
        <f t="shared" si="9"/>
        <v>-3345.0000000000146</v>
      </c>
      <c r="R100" s="174"/>
      <c r="S100" s="120"/>
    </row>
    <row r="101" spans="1:19" s="8" customFormat="1" ht="15" customHeight="1">
      <c r="A101" s="498" t="s">
        <v>382</v>
      </c>
      <c r="B101" s="498" t="s">
        <v>389</v>
      </c>
      <c r="C101" s="307"/>
      <c r="D101" s="307"/>
      <c r="E101" s="80" t="s">
        <v>53</v>
      </c>
      <c r="F101" s="79">
        <v>41031</v>
      </c>
      <c r="G101" s="78">
        <v>1</v>
      </c>
      <c r="H101" s="266">
        <v>285.8</v>
      </c>
      <c r="I101" s="101"/>
      <c r="J101" s="79">
        <v>41075</v>
      </c>
      <c r="K101" s="255">
        <v>275.39999999999998</v>
      </c>
      <c r="L101" s="887">
        <v>0.1</v>
      </c>
      <c r="M101" s="102">
        <v>11</v>
      </c>
      <c r="N101" s="178">
        <f>SUM((K101-H101)/L101*M101)*G101</f>
        <v>-1144.0000000000036</v>
      </c>
      <c r="O101" s="78" t="s">
        <v>884</v>
      </c>
      <c r="P101" s="345">
        <v>1</v>
      </c>
      <c r="Q101" s="179">
        <f t="shared" si="9"/>
        <v>-1144.0000000000036</v>
      </c>
      <c r="R101" s="83"/>
      <c r="S101" s="119"/>
    </row>
    <row r="102" spans="1:19" s="18" customFormat="1" ht="15" customHeight="1">
      <c r="A102" s="457" t="s">
        <v>383</v>
      </c>
      <c r="B102" s="457" t="s">
        <v>390</v>
      </c>
      <c r="C102" s="275"/>
      <c r="D102" s="275"/>
      <c r="E102" s="86" t="s">
        <v>78</v>
      </c>
      <c r="F102" s="87">
        <v>41058</v>
      </c>
      <c r="G102" s="85">
        <v>1</v>
      </c>
      <c r="H102" s="268">
        <v>14.385999999999999</v>
      </c>
      <c r="I102" s="99"/>
      <c r="J102" s="87">
        <v>41082</v>
      </c>
      <c r="K102" s="161">
        <v>14.7</v>
      </c>
      <c r="L102" s="885">
        <v>5.0000000000000001E-3</v>
      </c>
      <c r="M102" s="103">
        <v>10</v>
      </c>
      <c r="N102" s="181">
        <f>SUM((H102-K102)/L102*M102)*G102</f>
        <v>-628.00000000000011</v>
      </c>
      <c r="O102" s="85" t="s">
        <v>884</v>
      </c>
      <c r="P102" s="345">
        <v>1</v>
      </c>
      <c r="Q102" s="185">
        <f t="shared" si="9"/>
        <v>-628.00000000000011</v>
      </c>
      <c r="R102" s="89"/>
      <c r="S102" s="120"/>
    </row>
    <row r="103" spans="1:19" s="100" customFormat="1" ht="15" customHeight="1">
      <c r="A103" s="498" t="s">
        <v>384</v>
      </c>
      <c r="B103" s="498" t="s">
        <v>391</v>
      </c>
      <c r="C103" s="307"/>
      <c r="D103" s="307"/>
      <c r="E103" s="80" t="s">
        <v>53</v>
      </c>
      <c r="F103" s="79">
        <v>41052</v>
      </c>
      <c r="G103" s="78">
        <v>1</v>
      </c>
      <c r="H103" s="266">
        <v>81.95</v>
      </c>
      <c r="I103" s="99"/>
      <c r="J103" s="79">
        <v>41142</v>
      </c>
      <c r="K103" s="255">
        <v>81.849999999999994</v>
      </c>
      <c r="L103" s="887">
        <v>5.0000000000000001E-3</v>
      </c>
      <c r="M103" s="102">
        <v>5</v>
      </c>
      <c r="N103" s="178">
        <f t="shared" ref="N103:N111" si="10">SUM((K103-H103)/L103*M103)*G103</f>
        <v>-100.00000000000853</v>
      </c>
      <c r="O103" s="78" t="s">
        <v>884</v>
      </c>
      <c r="P103" s="345">
        <v>1</v>
      </c>
      <c r="Q103" s="179">
        <f t="shared" si="9"/>
        <v>-100.00000000000853</v>
      </c>
      <c r="R103" s="81"/>
      <c r="S103" s="119"/>
    </row>
    <row r="104" spans="1:19" s="100" customFormat="1" ht="15" customHeight="1">
      <c r="A104" s="14" t="s">
        <v>385</v>
      </c>
      <c r="B104" s="14" t="s">
        <v>392</v>
      </c>
      <c r="C104" s="307"/>
      <c r="D104" s="307"/>
      <c r="E104" s="2" t="s">
        <v>53</v>
      </c>
      <c r="F104" s="189">
        <v>41127</v>
      </c>
      <c r="G104" s="8">
        <v>1</v>
      </c>
      <c r="H104" s="271">
        <v>353.5</v>
      </c>
      <c r="I104" s="99"/>
      <c r="J104" s="189">
        <v>41157</v>
      </c>
      <c r="K104" s="190">
        <v>343.5</v>
      </c>
      <c r="L104" s="240">
        <v>0.01</v>
      </c>
      <c r="M104" s="194">
        <v>2</v>
      </c>
      <c r="N104" s="178">
        <f t="shared" si="10"/>
        <v>-2000</v>
      </c>
      <c r="O104" s="8" t="s">
        <v>884</v>
      </c>
      <c r="P104" s="345">
        <v>1</v>
      </c>
      <c r="Q104" s="179">
        <f t="shared" si="9"/>
        <v>-2000</v>
      </c>
      <c r="R104" s="239"/>
      <c r="S104" s="119" t="s">
        <v>3</v>
      </c>
    </row>
    <row r="105" spans="1:19" s="100" customFormat="1" ht="15" customHeight="1">
      <c r="A105" s="498" t="s">
        <v>86</v>
      </c>
      <c r="B105" s="498" t="s">
        <v>85</v>
      </c>
      <c r="C105" s="307"/>
      <c r="D105" s="307"/>
      <c r="E105" s="80" t="s">
        <v>53</v>
      </c>
      <c r="F105" s="79">
        <v>41165</v>
      </c>
      <c r="G105" s="78">
        <v>1</v>
      </c>
      <c r="H105" s="266">
        <v>128.71</v>
      </c>
      <c r="I105" s="99"/>
      <c r="J105" s="79">
        <v>41170</v>
      </c>
      <c r="K105" s="255">
        <v>125.69</v>
      </c>
      <c r="L105" s="887">
        <v>2.5000000000000001E-2</v>
      </c>
      <c r="M105" s="102">
        <v>10</v>
      </c>
      <c r="N105" s="178">
        <f t="shared" si="10"/>
        <v>-1208.0000000000041</v>
      </c>
      <c r="O105" s="78" t="s">
        <v>884</v>
      </c>
      <c r="P105" s="345">
        <v>1</v>
      </c>
      <c r="Q105" s="179">
        <f t="shared" si="9"/>
        <v>-1208.0000000000041</v>
      </c>
      <c r="R105" s="81"/>
      <c r="S105" s="119"/>
    </row>
    <row r="106" spans="1:19" s="100" customFormat="1" ht="15" customHeight="1">
      <c r="A106" s="498" t="s">
        <v>80</v>
      </c>
      <c r="B106" s="498" t="s">
        <v>79</v>
      </c>
      <c r="C106" s="307"/>
      <c r="D106" s="307"/>
      <c r="E106" s="80" t="s">
        <v>53</v>
      </c>
      <c r="F106" s="79">
        <v>41166</v>
      </c>
      <c r="G106" s="78">
        <v>1</v>
      </c>
      <c r="H106" s="266">
        <v>100.3</v>
      </c>
      <c r="I106" s="99"/>
      <c r="J106" s="79">
        <v>41170</v>
      </c>
      <c r="K106" s="255">
        <v>96.25</v>
      </c>
      <c r="L106" s="887">
        <v>0.01</v>
      </c>
      <c r="M106" s="102">
        <v>10</v>
      </c>
      <c r="N106" s="178">
        <f t="shared" si="10"/>
        <v>-4049.9999999999973</v>
      </c>
      <c r="O106" s="78" t="s">
        <v>884</v>
      </c>
      <c r="P106" s="345">
        <v>1</v>
      </c>
      <c r="Q106" s="179">
        <f t="shared" si="9"/>
        <v>-4049.9999999999973</v>
      </c>
      <c r="R106" s="81"/>
      <c r="S106" s="119"/>
    </row>
    <row r="107" spans="1:19" s="100" customFormat="1" ht="15" customHeight="1">
      <c r="A107" s="14" t="s">
        <v>386</v>
      </c>
      <c r="B107" s="14" t="s">
        <v>391</v>
      </c>
      <c r="C107" s="307"/>
      <c r="D107" s="307"/>
      <c r="E107" s="2" t="s">
        <v>53</v>
      </c>
      <c r="F107" s="189">
        <v>41052</v>
      </c>
      <c r="G107" s="8">
        <v>1</v>
      </c>
      <c r="H107" s="271">
        <v>77.400000000000006</v>
      </c>
      <c r="I107" s="99"/>
      <c r="J107" s="189">
        <v>41177</v>
      </c>
      <c r="K107" s="190">
        <v>72.2</v>
      </c>
      <c r="L107" s="240">
        <v>0.01</v>
      </c>
      <c r="M107" s="194">
        <v>5</v>
      </c>
      <c r="N107" s="178">
        <f t="shared" si="10"/>
        <v>-2600.0000000000009</v>
      </c>
      <c r="O107" s="8" t="s">
        <v>884</v>
      </c>
      <c r="P107" s="345">
        <v>1</v>
      </c>
      <c r="Q107" s="179">
        <f t="shared" si="9"/>
        <v>-2600.0000000000009</v>
      </c>
      <c r="R107" s="239"/>
      <c r="S107" s="119"/>
    </row>
    <row r="108" spans="1:19" s="100" customFormat="1" ht="15" customHeight="1">
      <c r="A108" s="498" t="s">
        <v>387</v>
      </c>
      <c r="B108" s="498" t="s">
        <v>72</v>
      </c>
      <c r="C108" s="307"/>
      <c r="D108" s="307"/>
      <c r="E108" s="80" t="s">
        <v>53</v>
      </c>
      <c r="F108" s="79">
        <v>41159</v>
      </c>
      <c r="G108" s="78">
        <v>1</v>
      </c>
      <c r="H108" s="266">
        <v>1433</v>
      </c>
      <c r="I108" s="99"/>
      <c r="J108" s="79">
        <v>41177</v>
      </c>
      <c r="K108" s="255">
        <v>1425</v>
      </c>
      <c r="L108" s="887">
        <v>0.25</v>
      </c>
      <c r="M108" s="102">
        <v>12.5</v>
      </c>
      <c r="N108" s="178">
        <f t="shared" si="10"/>
        <v>-400</v>
      </c>
      <c r="O108" s="78" t="s">
        <v>884</v>
      </c>
      <c r="P108" s="345">
        <v>1</v>
      </c>
      <c r="Q108" s="179">
        <f t="shared" si="9"/>
        <v>-400</v>
      </c>
      <c r="R108" s="81"/>
      <c r="S108" s="119"/>
    </row>
    <row r="109" spans="1:19" s="100" customFormat="1" ht="15" customHeight="1">
      <c r="A109" s="498" t="s">
        <v>112</v>
      </c>
      <c r="B109" s="498" t="s">
        <v>111</v>
      </c>
      <c r="C109" s="307"/>
      <c r="D109" s="307"/>
      <c r="E109" s="80" t="s">
        <v>53</v>
      </c>
      <c r="F109" s="79">
        <v>41163</v>
      </c>
      <c r="G109" s="78">
        <v>1</v>
      </c>
      <c r="H109" s="266">
        <v>677.51</v>
      </c>
      <c r="I109" s="99"/>
      <c r="J109" s="79">
        <v>41180</v>
      </c>
      <c r="K109" s="255">
        <v>641.5</v>
      </c>
      <c r="L109" s="887">
        <v>0.05</v>
      </c>
      <c r="M109" s="102">
        <v>5</v>
      </c>
      <c r="N109" s="178">
        <f t="shared" si="10"/>
        <v>-3600.9999999999991</v>
      </c>
      <c r="O109" s="78" t="s">
        <v>884</v>
      </c>
      <c r="P109" s="345">
        <v>1</v>
      </c>
      <c r="Q109" s="179">
        <f t="shared" si="9"/>
        <v>-3600.9999999999991</v>
      </c>
      <c r="R109" s="81"/>
      <c r="S109" s="119"/>
    </row>
    <row r="110" spans="1:19" s="100" customFormat="1" ht="15" customHeight="1">
      <c r="A110" s="498" t="s">
        <v>71</v>
      </c>
      <c r="B110" s="498" t="s">
        <v>70</v>
      </c>
      <c r="C110" s="307"/>
      <c r="D110" s="307"/>
      <c r="E110" s="80" t="s">
        <v>53</v>
      </c>
      <c r="F110" s="79">
        <v>41162</v>
      </c>
      <c r="G110" s="78">
        <v>1</v>
      </c>
      <c r="H110" s="266">
        <v>364.7</v>
      </c>
      <c r="I110" s="99"/>
      <c r="J110" s="79">
        <v>41207</v>
      </c>
      <c r="K110" s="255">
        <v>354.74</v>
      </c>
      <c r="L110" s="887">
        <v>0.05</v>
      </c>
      <c r="M110" s="102">
        <v>12.5</v>
      </c>
      <c r="N110" s="178">
        <f t="shared" si="10"/>
        <v>-2489.999999999995</v>
      </c>
      <c r="O110" s="78" t="s">
        <v>884</v>
      </c>
      <c r="P110" s="345">
        <v>1</v>
      </c>
      <c r="Q110" s="179">
        <f t="shared" si="9"/>
        <v>-2489.999999999995</v>
      </c>
      <c r="R110" s="81"/>
      <c r="S110" s="119"/>
    </row>
    <row r="111" spans="1:19" s="100" customFormat="1" ht="15" customHeight="1">
      <c r="A111" s="498" t="s">
        <v>75</v>
      </c>
      <c r="B111" s="498" t="s">
        <v>75</v>
      </c>
      <c r="C111" s="307"/>
      <c r="D111" s="307"/>
      <c r="E111" s="80" t="s">
        <v>53</v>
      </c>
      <c r="F111" s="79">
        <v>41165</v>
      </c>
      <c r="G111" s="78">
        <v>1</v>
      </c>
      <c r="H111" s="266">
        <v>7329</v>
      </c>
      <c r="I111" s="99"/>
      <c r="J111" s="79">
        <v>41205</v>
      </c>
      <c r="K111" s="255">
        <v>7326</v>
      </c>
      <c r="L111" s="887">
        <v>0.5</v>
      </c>
      <c r="M111" s="102">
        <v>25</v>
      </c>
      <c r="N111" s="178">
        <f t="shared" si="10"/>
        <v>-150</v>
      </c>
      <c r="O111" s="78" t="s">
        <v>379</v>
      </c>
      <c r="P111" s="186">
        <v>1.30589</v>
      </c>
      <c r="Q111" s="179">
        <f t="shared" si="9"/>
        <v>-195.8835</v>
      </c>
      <c r="R111" s="81"/>
      <c r="S111" s="119"/>
    </row>
    <row r="112" spans="1:19" s="17" customFormat="1" ht="15" customHeight="1">
      <c r="A112" s="456" t="s">
        <v>86</v>
      </c>
      <c r="B112" s="456" t="s">
        <v>85</v>
      </c>
      <c r="C112" s="17" t="s">
        <v>1006</v>
      </c>
      <c r="D112" s="183" t="s">
        <v>1007</v>
      </c>
      <c r="E112" s="183" t="s">
        <v>78</v>
      </c>
      <c r="F112" s="143">
        <v>41319</v>
      </c>
      <c r="G112" s="18">
        <v>1</v>
      </c>
      <c r="H112" s="269">
        <v>127.375</v>
      </c>
      <c r="I112" s="162"/>
      <c r="J112" s="311">
        <v>41320</v>
      </c>
      <c r="K112" s="153">
        <v>130.57499999999999</v>
      </c>
      <c r="L112" s="887">
        <v>2.5000000000000001E-2</v>
      </c>
      <c r="M112" s="184">
        <v>10</v>
      </c>
      <c r="N112" s="181">
        <f>SUM((H112-K112)/L112*M112)*G112</f>
        <v>-1279.9999999999955</v>
      </c>
      <c r="O112" s="176" t="s">
        <v>884</v>
      </c>
      <c r="P112" s="187">
        <v>1</v>
      </c>
      <c r="Q112" s="185">
        <f t="shared" ref="Q112:Q117" si="11">SUM(N112*P112)</f>
        <v>-1279.9999999999955</v>
      </c>
      <c r="R112" s="174"/>
      <c r="S112" s="118"/>
    </row>
    <row r="113" spans="1:20" s="2" customFormat="1" ht="15" customHeight="1">
      <c r="A113" s="14" t="s">
        <v>897</v>
      </c>
      <c r="B113" s="14" t="s">
        <v>807</v>
      </c>
      <c r="C113" s="2" t="s">
        <v>924</v>
      </c>
      <c r="D113" s="69">
        <v>41334</v>
      </c>
      <c r="E113" s="69" t="s">
        <v>53</v>
      </c>
      <c r="F113" s="189">
        <v>41302</v>
      </c>
      <c r="G113" s="8">
        <v>1</v>
      </c>
      <c r="H113" s="271">
        <v>2.94</v>
      </c>
      <c r="I113" s="177"/>
      <c r="J113" s="311">
        <v>41332</v>
      </c>
      <c r="K113" s="190">
        <v>3.113</v>
      </c>
      <c r="L113" s="240">
        <v>1E-4</v>
      </c>
      <c r="M113" s="194">
        <v>4.2</v>
      </c>
      <c r="N113" s="178">
        <f>SUM((K113-H113)/L113*M113)*G113</f>
        <v>7266.0000000000018</v>
      </c>
      <c r="O113" s="176" t="s">
        <v>884</v>
      </c>
      <c r="P113" s="186">
        <v>1</v>
      </c>
      <c r="Q113" s="179">
        <f t="shared" si="11"/>
        <v>7266.0000000000018</v>
      </c>
      <c r="R113" s="19"/>
      <c r="S113" s="118"/>
    </row>
    <row r="114" spans="1:20" s="2" customFormat="1" ht="15" customHeight="1">
      <c r="A114" s="14" t="s">
        <v>925</v>
      </c>
      <c r="B114" s="14" t="s">
        <v>2</v>
      </c>
      <c r="C114" s="2" t="s">
        <v>912</v>
      </c>
      <c r="D114" s="69">
        <v>41334</v>
      </c>
      <c r="E114" s="69" t="s">
        <v>53</v>
      </c>
      <c r="F114" s="189">
        <v>41306</v>
      </c>
      <c r="G114" s="8">
        <v>1</v>
      </c>
      <c r="H114" s="271">
        <v>116.77</v>
      </c>
      <c r="I114" s="177"/>
      <c r="J114" s="311">
        <v>41332</v>
      </c>
      <c r="K114" s="190">
        <v>112.23</v>
      </c>
      <c r="L114" s="240">
        <v>0.01</v>
      </c>
      <c r="M114" s="194">
        <v>10</v>
      </c>
      <c r="N114" s="178">
        <f>SUM((K114-H114)/L114*M114)*G114</f>
        <v>-4539.9999999999918</v>
      </c>
      <c r="O114" s="176" t="s">
        <v>884</v>
      </c>
      <c r="P114" s="186">
        <v>1</v>
      </c>
      <c r="Q114" s="179">
        <f t="shared" si="11"/>
        <v>-4539.9999999999918</v>
      </c>
      <c r="R114" s="19"/>
      <c r="S114" s="118"/>
    </row>
    <row r="115" spans="1:20" s="17" customFormat="1" ht="15" customHeight="1">
      <c r="A115" s="456" t="s">
        <v>979</v>
      </c>
      <c r="B115" s="456" t="s">
        <v>980</v>
      </c>
      <c r="C115" s="17" t="s">
        <v>1142</v>
      </c>
      <c r="D115" s="183" t="s">
        <v>1143</v>
      </c>
      <c r="E115" s="183" t="s">
        <v>78</v>
      </c>
      <c r="F115" s="143">
        <v>41374</v>
      </c>
      <c r="G115" s="18">
        <v>1</v>
      </c>
      <c r="H115" s="269">
        <v>150.85</v>
      </c>
      <c r="I115" s="162"/>
      <c r="J115" s="311">
        <v>41376</v>
      </c>
      <c r="K115" s="153">
        <v>140.75</v>
      </c>
      <c r="L115" s="887">
        <v>0.05</v>
      </c>
      <c r="M115" s="184">
        <v>7.5</v>
      </c>
      <c r="N115" s="181">
        <f>SUM((K115-H115)/L115*M115)*G115</f>
        <v>-1514.9999999999991</v>
      </c>
      <c r="O115" s="176" t="s">
        <v>884</v>
      </c>
      <c r="P115" s="187">
        <v>1</v>
      </c>
      <c r="Q115" s="185">
        <f t="shared" si="11"/>
        <v>-1514.9999999999991</v>
      </c>
      <c r="R115" s="174"/>
      <c r="S115" s="118"/>
    </row>
    <row r="116" spans="1:20" s="2" customFormat="1" ht="15" customHeight="1">
      <c r="A116" s="14" t="s">
        <v>386</v>
      </c>
      <c r="B116" s="14" t="s">
        <v>1066</v>
      </c>
      <c r="C116" s="2" t="s">
        <v>1067</v>
      </c>
      <c r="D116" s="69">
        <v>41395</v>
      </c>
      <c r="E116" s="69" t="s">
        <v>53</v>
      </c>
      <c r="F116" s="189">
        <v>41337</v>
      </c>
      <c r="G116" s="8">
        <v>1</v>
      </c>
      <c r="H116" s="271">
        <v>86.65</v>
      </c>
      <c r="I116" s="177"/>
      <c r="J116" s="311">
        <v>83.35</v>
      </c>
      <c r="K116" s="190">
        <v>83.35</v>
      </c>
      <c r="L116" s="240">
        <v>0.01</v>
      </c>
      <c r="M116" s="194">
        <v>5</v>
      </c>
      <c r="N116" s="178">
        <f>SUM((K116-H116)/L116*M116)*G116</f>
        <v>-1650.0000000000057</v>
      </c>
      <c r="O116" s="176" t="s">
        <v>884</v>
      </c>
      <c r="P116" s="186">
        <v>1</v>
      </c>
      <c r="Q116" s="179">
        <f t="shared" si="11"/>
        <v>-1650.0000000000057</v>
      </c>
      <c r="R116" s="19"/>
      <c r="S116" s="118"/>
    </row>
    <row r="117" spans="1:20" s="2" customFormat="1" ht="15" customHeight="1">
      <c r="A117" s="14" t="s">
        <v>894</v>
      </c>
      <c r="B117" s="14" t="s">
        <v>361</v>
      </c>
      <c r="C117" s="2" t="s">
        <v>40</v>
      </c>
      <c r="D117" s="69">
        <v>40919</v>
      </c>
      <c r="E117" s="69" t="s">
        <v>53</v>
      </c>
      <c r="F117" s="189">
        <v>40544</v>
      </c>
      <c r="G117" s="8">
        <v>1</v>
      </c>
      <c r="H117" s="271">
        <v>141.05000000000001</v>
      </c>
      <c r="I117" s="177"/>
      <c r="J117" s="311">
        <v>41390</v>
      </c>
      <c r="K117" s="190">
        <v>133.35</v>
      </c>
      <c r="L117" s="240">
        <v>0.05</v>
      </c>
      <c r="M117" s="194">
        <v>18.75</v>
      </c>
      <c r="N117" s="178">
        <f>SUM((K117-H117)/L117*M117)*G117</f>
        <v>-2887.5000000000064</v>
      </c>
      <c r="O117" s="176" t="s">
        <v>884</v>
      </c>
      <c r="P117" s="186">
        <v>1</v>
      </c>
      <c r="Q117" s="179">
        <f t="shared" si="11"/>
        <v>-2887.5000000000064</v>
      </c>
      <c r="R117" s="19"/>
      <c r="S117" s="118"/>
    </row>
    <row r="118" spans="1:20" s="17" customFormat="1" ht="15" customHeight="1">
      <c r="A118" s="456" t="s">
        <v>1112</v>
      </c>
      <c r="B118" s="456" t="s">
        <v>70</v>
      </c>
      <c r="C118" s="17" t="s">
        <v>1062</v>
      </c>
      <c r="D118" s="183">
        <v>41365</v>
      </c>
      <c r="E118" s="183" t="s">
        <v>78</v>
      </c>
      <c r="F118" s="143">
        <v>41628</v>
      </c>
      <c r="G118" s="18">
        <v>1</v>
      </c>
      <c r="H118" s="269">
        <v>341.25</v>
      </c>
      <c r="I118" s="162"/>
      <c r="J118" s="311">
        <v>41402</v>
      </c>
      <c r="K118" s="153">
        <v>324</v>
      </c>
      <c r="L118" s="883">
        <v>0.05</v>
      </c>
      <c r="M118" s="184">
        <v>12.5</v>
      </c>
      <c r="N118" s="181">
        <f>SUM((H118-K118)/L118*M118)*G118</f>
        <v>4312.5</v>
      </c>
      <c r="O118" s="176" t="s">
        <v>884</v>
      </c>
      <c r="P118" s="187">
        <v>1</v>
      </c>
      <c r="Q118" s="185">
        <f>SUM(N118*P118)</f>
        <v>4312.5</v>
      </c>
      <c r="R118" s="174"/>
      <c r="S118" s="118"/>
    </row>
    <row r="119" spans="1:20" s="2" customFormat="1" ht="15" customHeight="1">
      <c r="A119" s="14" t="s">
        <v>1178</v>
      </c>
      <c r="B119" s="14" t="s">
        <v>1177</v>
      </c>
      <c r="C119" s="2" t="s">
        <v>1176</v>
      </c>
      <c r="D119" s="69">
        <v>41395</v>
      </c>
      <c r="E119" s="69" t="s">
        <v>53</v>
      </c>
      <c r="F119" s="189">
        <v>41393</v>
      </c>
      <c r="G119" s="8">
        <v>1</v>
      </c>
      <c r="H119" s="271">
        <v>421.8</v>
      </c>
      <c r="I119" s="177"/>
      <c r="J119" s="311">
        <v>41400</v>
      </c>
      <c r="K119" s="190">
        <v>400.2</v>
      </c>
      <c r="L119" s="240">
        <v>0.1</v>
      </c>
      <c r="M119" s="194">
        <v>10</v>
      </c>
      <c r="N119" s="178">
        <f>SUM((K119-H119)/L119*M119)*G119</f>
        <v>-2160.0000000000023</v>
      </c>
      <c r="O119" s="176" t="s">
        <v>884</v>
      </c>
      <c r="P119" s="186">
        <v>1</v>
      </c>
      <c r="Q119" s="179">
        <f>SUM(N119*P119)</f>
        <v>-2160.0000000000023</v>
      </c>
      <c r="R119" s="19"/>
      <c r="S119" s="118"/>
    </row>
    <row r="120" spans="1:20" s="8" customFormat="1" ht="15" customHeight="1">
      <c r="A120" s="14" t="s">
        <v>46</v>
      </c>
      <c r="B120" s="14" t="s">
        <v>981</v>
      </c>
      <c r="C120" s="2" t="s">
        <v>1118</v>
      </c>
      <c r="D120" s="69">
        <v>41395</v>
      </c>
      <c r="E120" s="69" t="s">
        <v>53</v>
      </c>
      <c r="F120" s="189">
        <v>41393</v>
      </c>
      <c r="G120" s="8">
        <v>1</v>
      </c>
      <c r="H120" s="271">
        <v>716.6</v>
      </c>
      <c r="I120" s="177"/>
      <c r="J120" s="311">
        <v>41414</v>
      </c>
      <c r="K120" s="190">
        <v>678.6</v>
      </c>
      <c r="L120" s="240">
        <v>0.25</v>
      </c>
      <c r="M120" s="194">
        <v>12.5</v>
      </c>
      <c r="N120" s="178">
        <f>SUM((K120-H120)/L120*M120)*G120</f>
        <v>-1900</v>
      </c>
      <c r="O120" s="176" t="s">
        <v>1278</v>
      </c>
      <c r="P120" s="186">
        <v>1</v>
      </c>
      <c r="Q120" s="344">
        <f>SUM(N120/P120)</f>
        <v>-1900</v>
      </c>
      <c r="R120" s="19"/>
      <c r="S120" s="118"/>
      <c r="T120" s="327"/>
    </row>
    <row r="121" spans="1:20" s="17" customFormat="1" ht="15" customHeight="1">
      <c r="A121" s="14" t="s">
        <v>676</v>
      </c>
      <c r="B121" s="14" t="s">
        <v>677</v>
      </c>
      <c r="C121" s="327" t="s">
        <v>1068</v>
      </c>
      <c r="D121" s="335" t="s">
        <v>1069</v>
      </c>
      <c r="E121" s="335" t="s">
        <v>53</v>
      </c>
      <c r="F121" s="347">
        <v>41276</v>
      </c>
      <c r="G121" s="362">
        <v>1</v>
      </c>
      <c r="H121" s="350">
        <v>6008</v>
      </c>
      <c r="I121" s="355"/>
      <c r="J121" s="311">
        <v>41428</v>
      </c>
      <c r="K121" s="363">
        <v>6499</v>
      </c>
      <c r="L121" s="240">
        <v>0.5</v>
      </c>
      <c r="M121" s="348">
        <v>7.5</v>
      </c>
      <c r="N121" s="339">
        <f>SUM((K121-H121)/L121*M121)*G121</f>
        <v>7365</v>
      </c>
      <c r="O121" s="338" t="s">
        <v>380</v>
      </c>
      <c r="P121" s="345">
        <v>1.5195700000000001</v>
      </c>
      <c r="Q121" s="340">
        <f>SUM(N121*P121)</f>
        <v>11191.63305</v>
      </c>
      <c r="R121" s="334"/>
      <c r="S121" s="119"/>
      <c r="T121" s="362"/>
    </row>
    <row r="122" spans="1:20" s="2" customFormat="1" ht="15" customHeight="1">
      <c r="A122" s="456" t="s">
        <v>1174</v>
      </c>
      <c r="B122" s="456" t="s">
        <v>389</v>
      </c>
      <c r="C122" s="333" t="s">
        <v>1175</v>
      </c>
      <c r="D122" s="342" t="s">
        <v>1143</v>
      </c>
      <c r="E122" s="342" t="s">
        <v>78</v>
      </c>
      <c r="F122" s="336">
        <v>41379</v>
      </c>
      <c r="G122" s="369">
        <v>1</v>
      </c>
      <c r="H122" s="349">
        <v>370</v>
      </c>
      <c r="I122" s="358"/>
      <c r="J122" s="311">
        <v>41428</v>
      </c>
      <c r="K122" s="153">
        <v>311.39999999999998</v>
      </c>
      <c r="L122" s="883">
        <v>0.1</v>
      </c>
      <c r="M122" s="343">
        <v>11</v>
      </c>
      <c r="N122" s="341">
        <f>SUM((H122-K122)/L122*M122)*G122</f>
        <v>6446.0000000000027</v>
      </c>
      <c r="O122" s="338" t="s">
        <v>1278</v>
      </c>
      <c r="P122" s="346">
        <v>1</v>
      </c>
      <c r="Q122" s="344">
        <f>SUM(N122/P122)</f>
        <v>6446.0000000000027</v>
      </c>
      <c r="R122" s="337"/>
      <c r="S122" s="118"/>
      <c r="T122" s="333"/>
    </row>
    <row r="123" spans="1:20" s="333" customFormat="1" ht="15" customHeight="1">
      <c r="A123" s="456" t="s">
        <v>979</v>
      </c>
      <c r="B123" s="456" t="s">
        <v>980</v>
      </c>
      <c r="C123" s="333" t="s">
        <v>1261</v>
      </c>
      <c r="D123" s="342">
        <v>41456</v>
      </c>
      <c r="E123" s="342" t="s">
        <v>78</v>
      </c>
      <c r="F123" s="336">
        <v>41450</v>
      </c>
      <c r="G123" s="369">
        <v>1</v>
      </c>
      <c r="H123" s="349">
        <v>138.53</v>
      </c>
      <c r="I123" s="358"/>
      <c r="J123" s="311">
        <v>41469</v>
      </c>
      <c r="K123" s="153">
        <v>140.6</v>
      </c>
      <c r="L123" s="883">
        <v>0.05</v>
      </c>
      <c r="M123" s="343">
        <v>7.5</v>
      </c>
      <c r="N123" s="341">
        <f>SUM((H123-K123)/L123*M123)*G123</f>
        <v>-310.49999999999898</v>
      </c>
      <c r="O123" s="338" t="s">
        <v>1278</v>
      </c>
      <c r="P123" s="346">
        <v>1</v>
      </c>
      <c r="Q123" s="344">
        <f>SUM(N123/P123)</f>
        <v>-310.49999999999898</v>
      </c>
      <c r="R123" s="337"/>
      <c r="S123" s="118"/>
    </row>
    <row r="124" spans="1:20" s="327" customFormat="1" ht="15" customHeight="1">
      <c r="A124" s="14" t="s">
        <v>897</v>
      </c>
      <c r="B124" s="14" t="s">
        <v>44</v>
      </c>
      <c r="C124" s="327" t="s">
        <v>1274</v>
      </c>
      <c r="D124" s="335" t="s">
        <v>1275</v>
      </c>
      <c r="E124" s="335" t="s">
        <v>53</v>
      </c>
      <c r="F124" s="347">
        <v>41467</v>
      </c>
      <c r="G124" s="362">
        <v>1</v>
      </c>
      <c r="H124" s="350">
        <v>300.3</v>
      </c>
      <c r="I124" s="355"/>
      <c r="J124" s="311">
        <v>41492</v>
      </c>
      <c r="K124" s="363">
        <v>289.7</v>
      </c>
      <c r="L124" s="240">
        <v>0.01</v>
      </c>
      <c r="M124" s="348">
        <v>4.2</v>
      </c>
      <c r="N124" s="339">
        <f>SUM((K124-H124)/L124*M124)*G124</f>
        <v>-4452.00000000001</v>
      </c>
      <c r="O124" s="338" t="s">
        <v>1278</v>
      </c>
      <c r="P124" s="345">
        <v>1</v>
      </c>
      <c r="Q124" s="344">
        <f>SUM(N124/P124)</f>
        <v>-4452.00000000001</v>
      </c>
      <c r="R124" s="334"/>
      <c r="S124" s="118"/>
    </row>
    <row r="125" spans="1:20" s="327" customFormat="1" ht="15" customHeight="1">
      <c r="A125" s="14" t="s">
        <v>1163</v>
      </c>
      <c r="B125" s="14" t="s">
        <v>79</v>
      </c>
      <c r="C125" s="327" t="s">
        <v>1306</v>
      </c>
      <c r="D125" s="335">
        <v>41548</v>
      </c>
      <c r="E125" s="335" t="s">
        <v>53</v>
      </c>
      <c r="F125" s="347">
        <v>41513</v>
      </c>
      <c r="G125" s="362">
        <v>1</v>
      </c>
      <c r="H125" s="350">
        <v>108.9</v>
      </c>
      <c r="I125" s="355"/>
      <c r="J125" s="311">
        <v>41516</v>
      </c>
      <c r="K125" s="363">
        <v>107</v>
      </c>
      <c r="L125" s="884">
        <v>0.01</v>
      </c>
      <c r="M125" s="88">
        <v>10</v>
      </c>
      <c r="N125" s="339">
        <f>SUM((K125-H125)/L125*M125)*G125</f>
        <v>-1900.0000000000057</v>
      </c>
      <c r="O125" s="338" t="s">
        <v>884</v>
      </c>
      <c r="P125" s="345">
        <v>1</v>
      </c>
      <c r="Q125" s="340">
        <f>SUM(N125*P125)</f>
        <v>-1900.0000000000057</v>
      </c>
      <c r="R125" s="334"/>
      <c r="S125" s="118"/>
    </row>
    <row r="126" spans="1:20" s="327" customFormat="1" ht="15" customHeight="1">
      <c r="A126" s="14" t="s">
        <v>48</v>
      </c>
      <c r="B126" s="14" t="s">
        <v>47</v>
      </c>
      <c r="C126" s="327" t="s">
        <v>1339</v>
      </c>
      <c r="D126" s="335">
        <v>41518</v>
      </c>
      <c r="E126" s="335" t="s">
        <v>53</v>
      </c>
      <c r="F126" s="347">
        <v>41484</v>
      </c>
      <c r="G126" s="362">
        <v>1</v>
      </c>
      <c r="H126" s="350">
        <v>157.35</v>
      </c>
      <c r="I126" s="355"/>
      <c r="J126" s="311">
        <v>41512</v>
      </c>
      <c r="K126" s="363">
        <v>155.80000000000001</v>
      </c>
      <c r="L126" s="240">
        <v>2.5000000000000001E-2</v>
      </c>
      <c r="M126" s="348">
        <v>12.5</v>
      </c>
      <c r="N126" s="339">
        <f>SUM((K126-H126)/L126*M126)*G126</f>
        <v>-774.99999999999147</v>
      </c>
      <c r="O126" s="338" t="s">
        <v>1278</v>
      </c>
      <c r="P126" s="345">
        <v>1</v>
      </c>
      <c r="Q126" s="344">
        <f>SUM(N126/P126)</f>
        <v>-774.99999999999147</v>
      </c>
      <c r="R126" s="334"/>
      <c r="S126" s="118"/>
    </row>
    <row r="127" spans="1:20" s="327" customFormat="1" ht="15" customHeight="1">
      <c r="A127" s="14" t="s">
        <v>1307</v>
      </c>
      <c r="B127" s="14" t="s">
        <v>49</v>
      </c>
      <c r="C127" s="327" t="s">
        <v>1308</v>
      </c>
      <c r="D127" s="335">
        <v>41518</v>
      </c>
      <c r="E127" s="335" t="s">
        <v>53</v>
      </c>
      <c r="F127" s="347">
        <v>41513</v>
      </c>
      <c r="G127" s="362">
        <v>1</v>
      </c>
      <c r="H127" s="350">
        <v>956</v>
      </c>
      <c r="I127" s="355"/>
      <c r="J127" s="311">
        <v>41519</v>
      </c>
      <c r="K127" s="363">
        <v>956</v>
      </c>
      <c r="L127" s="884">
        <v>0.25</v>
      </c>
      <c r="M127" s="88">
        <v>25</v>
      </c>
      <c r="N127" s="339">
        <f>SUM((K127-H127)/L127*M127)*G127</f>
        <v>0</v>
      </c>
      <c r="O127" s="338" t="s">
        <v>884</v>
      </c>
      <c r="P127" s="345">
        <v>1</v>
      </c>
      <c r="Q127" s="340">
        <f t="shared" ref="Q127:Q132" si="12">SUM(N127*P127)</f>
        <v>0</v>
      </c>
      <c r="R127" s="334"/>
      <c r="S127" s="118"/>
    </row>
    <row r="128" spans="1:20" s="333" customFormat="1" ht="15" customHeight="1">
      <c r="A128" s="14" t="s">
        <v>84</v>
      </c>
      <c r="B128" s="14" t="s">
        <v>83</v>
      </c>
      <c r="C128" s="327" t="s">
        <v>1309</v>
      </c>
      <c r="D128" s="335">
        <v>41548</v>
      </c>
      <c r="E128" s="335" t="s">
        <v>53</v>
      </c>
      <c r="F128" s="347">
        <v>41513</v>
      </c>
      <c r="G128" s="362">
        <v>1</v>
      </c>
      <c r="H128" s="350">
        <v>3.1358999999999999</v>
      </c>
      <c r="I128" s="355"/>
      <c r="J128" s="311">
        <v>41527</v>
      </c>
      <c r="K128" s="345">
        <v>3.0935000000000001</v>
      </c>
      <c r="L128" s="884">
        <v>1E-4</v>
      </c>
      <c r="M128" s="88">
        <v>4.2</v>
      </c>
      <c r="N128" s="339">
        <f>SUM((K128-H128)/L128*M128)*G128</f>
        <v>-1780.7999999999902</v>
      </c>
      <c r="O128" s="338" t="s">
        <v>884</v>
      </c>
      <c r="P128" s="345">
        <v>1</v>
      </c>
      <c r="Q128" s="340">
        <f t="shared" si="12"/>
        <v>-1780.7999999999902</v>
      </c>
      <c r="R128" s="337"/>
      <c r="S128" s="118"/>
    </row>
    <row r="129" spans="1:20" s="333" customFormat="1" ht="15" customHeight="1">
      <c r="A129" s="456" t="s">
        <v>1384</v>
      </c>
      <c r="B129" s="456" t="s">
        <v>1385</v>
      </c>
      <c r="C129" s="333" t="s">
        <v>1386</v>
      </c>
      <c r="D129" s="342">
        <v>41609</v>
      </c>
      <c r="E129" s="342" t="s">
        <v>78</v>
      </c>
      <c r="F129" s="336">
        <v>41554</v>
      </c>
      <c r="G129" s="369">
        <v>1</v>
      </c>
      <c r="H129" s="349">
        <v>1661.25</v>
      </c>
      <c r="I129" s="358"/>
      <c r="J129" s="311">
        <v>41558</v>
      </c>
      <c r="K129" s="153">
        <v>1699.25</v>
      </c>
      <c r="L129" s="883">
        <v>0.25</v>
      </c>
      <c r="M129" s="343">
        <v>12.5</v>
      </c>
      <c r="N129" s="341">
        <f>SUM((H129-K129)/L129*M129)*G129</f>
        <v>-1900</v>
      </c>
      <c r="O129" s="338" t="s">
        <v>686</v>
      </c>
      <c r="P129" s="346">
        <v>1</v>
      </c>
      <c r="Q129" s="344">
        <f t="shared" si="12"/>
        <v>-1900</v>
      </c>
      <c r="R129" s="337"/>
      <c r="S129" s="118"/>
    </row>
    <row r="130" spans="1:20" s="333" customFormat="1" ht="15" customHeight="1">
      <c r="A130" s="14" t="s">
        <v>48</v>
      </c>
      <c r="B130" s="14" t="s">
        <v>47</v>
      </c>
      <c r="C130" s="327" t="s">
        <v>1366</v>
      </c>
      <c r="D130" s="335">
        <v>41548</v>
      </c>
      <c r="E130" s="335" t="s">
        <v>53</v>
      </c>
      <c r="F130" s="347">
        <v>41548</v>
      </c>
      <c r="G130" s="362">
        <v>1</v>
      </c>
      <c r="H130" s="350">
        <v>165.57499999999999</v>
      </c>
      <c r="I130" s="355"/>
      <c r="J130" s="311">
        <v>41577</v>
      </c>
      <c r="K130" s="363">
        <v>165.4</v>
      </c>
      <c r="L130" s="884">
        <v>2.5000000000000001E-2</v>
      </c>
      <c r="M130" s="88">
        <v>12.5</v>
      </c>
      <c r="N130" s="339">
        <f>SUM((K130-H130)/L130*M130)*G130</f>
        <v>-87.499999999991473</v>
      </c>
      <c r="O130" s="338" t="s">
        <v>884</v>
      </c>
      <c r="P130" s="345">
        <v>1</v>
      </c>
      <c r="Q130" s="340">
        <f t="shared" si="12"/>
        <v>-87.499999999991473</v>
      </c>
      <c r="R130" s="337"/>
      <c r="S130" s="118"/>
    </row>
    <row r="131" spans="1:20" s="333" customFormat="1" ht="15" customHeight="1">
      <c r="A131" s="14" t="s">
        <v>46</v>
      </c>
      <c r="B131" s="14" t="s">
        <v>45</v>
      </c>
      <c r="C131" s="327" t="s">
        <v>1367</v>
      </c>
      <c r="D131" s="335">
        <v>41609</v>
      </c>
      <c r="E131" s="335" t="s">
        <v>53</v>
      </c>
      <c r="F131" s="347">
        <v>41547</v>
      </c>
      <c r="G131" s="362">
        <v>1</v>
      </c>
      <c r="H131" s="350">
        <v>691.5</v>
      </c>
      <c r="I131" s="355"/>
      <c r="J131" s="311">
        <v>41575</v>
      </c>
      <c r="K131" s="363">
        <v>686.4</v>
      </c>
      <c r="L131" s="240">
        <v>2.5000000000000001E-2</v>
      </c>
      <c r="M131" s="348">
        <v>12.5</v>
      </c>
      <c r="N131" s="339">
        <f>SUM((K131-H131)/L131*M131)*G131</f>
        <v>-2550.0000000000114</v>
      </c>
      <c r="O131" s="338" t="s">
        <v>884</v>
      </c>
      <c r="P131" s="345">
        <v>1</v>
      </c>
      <c r="Q131" s="340">
        <f t="shared" si="12"/>
        <v>-2550.0000000000114</v>
      </c>
      <c r="R131" s="337"/>
      <c r="S131" s="118"/>
    </row>
    <row r="132" spans="1:20" s="333" customFormat="1" ht="15" customHeight="1">
      <c r="A132" s="456" t="s">
        <v>925</v>
      </c>
      <c r="B132" s="456" t="s">
        <v>2</v>
      </c>
      <c r="C132" s="333" t="s">
        <v>1461</v>
      </c>
      <c r="D132" s="342">
        <v>41275</v>
      </c>
      <c r="E132" s="342" t="s">
        <v>78</v>
      </c>
      <c r="F132" s="336">
        <v>41584</v>
      </c>
      <c r="G132" s="369">
        <v>1</v>
      </c>
      <c r="H132" s="349">
        <v>103.42</v>
      </c>
      <c r="I132" s="358"/>
      <c r="J132" s="311">
        <v>41590</v>
      </c>
      <c r="K132" s="153">
        <v>106.87</v>
      </c>
      <c r="L132" s="883">
        <v>0.01</v>
      </c>
      <c r="M132" s="343">
        <v>10</v>
      </c>
      <c r="N132" s="341">
        <f>SUM((H132-K132)/L132*M132)*G132</f>
        <v>-3450.0000000000027</v>
      </c>
      <c r="O132" s="338" t="s">
        <v>686</v>
      </c>
      <c r="P132" s="346">
        <v>1</v>
      </c>
      <c r="Q132" s="344">
        <f t="shared" si="12"/>
        <v>-3450.0000000000027</v>
      </c>
      <c r="R132" s="337"/>
      <c r="S132" s="118"/>
    </row>
    <row r="133" spans="1:20" s="327" customFormat="1" ht="15" customHeight="1">
      <c r="A133" s="14" t="s">
        <v>1587</v>
      </c>
      <c r="B133" s="14" t="s">
        <v>75</v>
      </c>
      <c r="C133" s="335" t="s">
        <v>1588</v>
      </c>
      <c r="D133" s="335">
        <v>41699</v>
      </c>
      <c r="E133" s="335" t="s">
        <v>53</v>
      </c>
      <c r="F133" s="347">
        <v>41682</v>
      </c>
      <c r="G133" s="362">
        <v>2</v>
      </c>
      <c r="H133" s="350">
        <v>9590.5</v>
      </c>
      <c r="I133" s="355"/>
      <c r="J133" s="311">
        <v>41708</v>
      </c>
      <c r="K133" s="363">
        <v>9308.5</v>
      </c>
      <c r="L133" s="240">
        <v>1</v>
      </c>
      <c r="M133" s="348">
        <v>5</v>
      </c>
      <c r="N133" s="339">
        <f>SUM((K133-H133)/L133*M133)*G133</f>
        <v>-2820</v>
      </c>
      <c r="O133" s="338" t="s">
        <v>379</v>
      </c>
      <c r="P133" s="345">
        <v>1.3875</v>
      </c>
      <c r="Q133" s="340">
        <f>SUM(N133*P133)</f>
        <v>-3912.75</v>
      </c>
      <c r="R133" s="334"/>
      <c r="S133" s="118"/>
    </row>
    <row r="134" spans="1:20" s="327" customFormat="1" ht="15" customHeight="1">
      <c r="A134" s="14" t="s">
        <v>387</v>
      </c>
      <c r="B134" s="14" t="s">
        <v>72</v>
      </c>
      <c r="C134" s="327" t="s">
        <v>1589</v>
      </c>
      <c r="D134" s="335">
        <v>41699</v>
      </c>
      <c r="E134" s="335" t="s">
        <v>53</v>
      </c>
      <c r="F134" s="347">
        <v>41682</v>
      </c>
      <c r="G134" s="362">
        <v>2</v>
      </c>
      <c r="H134" s="350">
        <v>1825.75</v>
      </c>
      <c r="I134" s="355"/>
      <c r="J134" s="311">
        <v>41715</v>
      </c>
      <c r="K134" s="363">
        <v>1826</v>
      </c>
      <c r="L134" s="240">
        <v>1</v>
      </c>
      <c r="M134" s="348">
        <v>25</v>
      </c>
      <c r="N134" s="339">
        <f t="shared" ref="N134" si="13">SUM((K134-H134)/L134*M134)*G134</f>
        <v>12.5</v>
      </c>
      <c r="O134" s="338" t="s">
        <v>884</v>
      </c>
      <c r="P134" s="345">
        <v>1</v>
      </c>
      <c r="Q134" s="340">
        <f t="shared" ref="Q134" si="14">SUM(N134*P134)</f>
        <v>12.5</v>
      </c>
      <c r="R134" s="334"/>
      <c r="S134" s="118"/>
    </row>
    <row r="135" spans="1:20" s="327" customFormat="1" ht="15" customHeight="1">
      <c r="A135" s="14" t="s">
        <v>1603</v>
      </c>
      <c r="B135" s="14" t="s">
        <v>1066</v>
      </c>
      <c r="C135" s="327" t="s">
        <v>1568</v>
      </c>
      <c r="D135" s="335">
        <v>41699</v>
      </c>
      <c r="E135" s="335" t="s">
        <v>53</v>
      </c>
      <c r="F135" s="347">
        <v>41704</v>
      </c>
      <c r="G135" s="362">
        <v>3</v>
      </c>
      <c r="H135" s="350">
        <v>91.06</v>
      </c>
      <c r="I135" s="355"/>
      <c r="J135" s="311">
        <v>41740</v>
      </c>
      <c r="K135" s="363">
        <v>88.95</v>
      </c>
      <c r="L135" s="240">
        <v>0.01</v>
      </c>
      <c r="M135" s="348">
        <v>5</v>
      </c>
      <c r="N135" s="339">
        <f>SUM((K135-H135)/L135*M135)*G135</f>
        <v>-3164.9999999999991</v>
      </c>
      <c r="O135" s="338" t="s">
        <v>884</v>
      </c>
      <c r="P135" s="345">
        <v>1</v>
      </c>
      <c r="Q135" s="340">
        <f t="shared" ref="Q135:Q141" si="15">SUM(N135*P135)</f>
        <v>-3164.9999999999991</v>
      </c>
      <c r="R135" s="334"/>
      <c r="S135" s="118"/>
    </row>
    <row r="136" spans="1:20" s="333" customFormat="1" ht="15" customHeight="1">
      <c r="A136" s="456" t="s">
        <v>894</v>
      </c>
      <c r="B136" s="456" t="s">
        <v>361</v>
      </c>
      <c r="C136" s="333" t="s">
        <v>1621</v>
      </c>
      <c r="D136" s="342">
        <v>41760</v>
      </c>
      <c r="E136" s="342" t="s">
        <v>78</v>
      </c>
      <c r="F136" s="336">
        <v>41715</v>
      </c>
      <c r="G136" s="369">
        <v>2</v>
      </c>
      <c r="H136" s="349">
        <v>191.65</v>
      </c>
      <c r="I136" s="358"/>
      <c r="J136" s="311">
        <v>41736</v>
      </c>
      <c r="K136" s="153">
        <v>186.4</v>
      </c>
      <c r="L136" s="883">
        <v>0.05</v>
      </c>
      <c r="M136" s="343">
        <v>18.75</v>
      </c>
      <c r="N136" s="341">
        <f>SUM((H136-K136)/L136*M136)*G136</f>
        <v>3937.5</v>
      </c>
      <c r="O136" s="338" t="s">
        <v>884</v>
      </c>
      <c r="P136" s="346">
        <v>1</v>
      </c>
      <c r="Q136" s="344">
        <f t="shared" si="15"/>
        <v>3937.5</v>
      </c>
      <c r="R136" s="337"/>
      <c r="S136" s="118"/>
    </row>
    <row r="137" spans="1:20" s="14" customFormat="1" ht="15" customHeight="1">
      <c r="A137" s="14" t="s">
        <v>50</v>
      </c>
      <c r="B137" s="14" t="s">
        <v>49</v>
      </c>
      <c r="C137" s="14" t="s">
        <v>1666</v>
      </c>
      <c r="D137" s="761">
        <v>41760</v>
      </c>
      <c r="E137" s="761" t="s">
        <v>53</v>
      </c>
      <c r="F137" s="522">
        <v>41744</v>
      </c>
      <c r="G137" s="425">
        <v>3</v>
      </c>
      <c r="H137" s="800">
        <v>919.5</v>
      </c>
      <c r="I137" s="502"/>
      <c r="J137" s="543">
        <v>41759</v>
      </c>
      <c r="K137" s="635">
        <v>905.4</v>
      </c>
      <c r="L137" s="429">
        <v>0.25</v>
      </c>
      <c r="M137" s="636">
        <v>25</v>
      </c>
      <c r="N137" s="764">
        <f>SUM((K137-H137)/L137*M137)*G137</f>
        <v>-4230.0000000000073</v>
      </c>
      <c r="O137" s="760" t="s">
        <v>884</v>
      </c>
      <c r="P137" s="759">
        <v>1</v>
      </c>
      <c r="Q137" s="833">
        <f t="shared" si="15"/>
        <v>-4230.0000000000073</v>
      </c>
      <c r="R137" s="541"/>
      <c r="S137" s="11"/>
    </row>
    <row r="138" spans="1:20" s="14" customFormat="1" ht="15" customHeight="1">
      <c r="A138" s="14" t="s">
        <v>48</v>
      </c>
      <c r="B138" s="14" t="s">
        <v>47</v>
      </c>
      <c r="C138" s="14" t="s">
        <v>1695</v>
      </c>
      <c r="D138" s="761">
        <v>41760</v>
      </c>
      <c r="E138" s="761" t="s">
        <v>53</v>
      </c>
      <c r="F138" s="522">
        <v>41760</v>
      </c>
      <c r="G138" s="425">
        <v>3</v>
      </c>
      <c r="H138" s="800">
        <v>182.1</v>
      </c>
      <c r="I138" s="502"/>
      <c r="J138" s="543">
        <v>41775</v>
      </c>
      <c r="K138" s="635">
        <v>189.4</v>
      </c>
      <c r="L138" s="429">
        <v>0.25</v>
      </c>
      <c r="M138" s="636">
        <v>12.5</v>
      </c>
      <c r="N138" s="764">
        <f>SUM((K138-H138)/L138*M138)*G138</f>
        <v>1095.0000000000018</v>
      </c>
      <c r="O138" s="760" t="s">
        <v>884</v>
      </c>
      <c r="P138" s="759">
        <v>1</v>
      </c>
      <c r="Q138" s="833">
        <f t="shared" si="15"/>
        <v>1095.0000000000018</v>
      </c>
      <c r="R138" s="541"/>
      <c r="S138" s="11"/>
    </row>
    <row r="139" spans="1:20" s="14" customFormat="1" ht="15" customHeight="1">
      <c r="A139" s="14" t="s">
        <v>71</v>
      </c>
      <c r="B139" s="14" t="s">
        <v>70</v>
      </c>
      <c r="C139" s="14" t="s">
        <v>1691</v>
      </c>
      <c r="D139" s="761">
        <v>41791</v>
      </c>
      <c r="E139" s="761" t="s">
        <v>53</v>
      </c>
      <c r="F139" s="522">
        <v>41757</v>
      </c>
      <c r="G139" s="425">
        <v>2</v>
      </c>
      <c r="H139" s="800">
        <v>311.39999999999998</v>
      </c>
      <c r="I139" s="502"/>
      <c r="J139" s="543">
        <v>41785</v>
      </c>
      <c r="K139" s="635">
        <v>317.39999999999998</v>
      </c>
      <c r="L139" s="429">
        <v>0.05</v>
      </c>
      <c r="M139" s="636">
        <v>12.5</v>
      </c>
      <c r="N139" s="764">
        <f>SUM((K139-H139)/L139*M139)*G139</f>
        <v>3000</v>
      </c>
      <c r="O139" s="760" t="s">
        <v>884</v>
      </c>
      <c r="P139" s="759">
        <v>1</v>
      </c>
      <c r="Q139" s="833">
        <f t="shared" si="15"/>
        <v>3000</v>
      </c>
      <c r="R139" s="541"/>
      <c r="S139" s="11"/>
    </row>
    <row r="140" spans="1:20" s="14" customFormat="1" ht="15" customHeight="1">
      <c r="A140" s="456" t="s">
        <v>1603</v>
      </c>
      <c r="B140" s="456" t="s">
        <v>1066</v>
      </c>
      <c r="C140" s="456" t="s">
        <v>1712</v>
      </c>
      <c r="D140" s="786">
        <v>41821</v>
      </c>
      <c r="E140" s="786" t="s">
        <v>78</v>
      </c>
      <c r="F140" s="505">
        <v>41781</v>
      </c>
      <c r="G140" s="484">
        <v>2</v>
      </c>
      <c r="H140" s="801">
        <v>88.2</v>
      </c>
      <c r="I140" s="789"/>
      <c r="J140" s="543">
        <v>41793</v>
      </c>
      <c r="K140" s="675">
        <v>87.45</v>
      </c>
      <c r="L140" s="466">
        <v>0.01</v>
      </c>
      <c r="M140" s="651">
        <v>5</v>
      </c>
      <c r="N140" s="791">
        <f>SUM((H140-K140)/L140*M140)*G140</f>
        <v>750</v>
      </c>
      <c r="O140" s="760" t="s">
        <v>884</v>
      </c>
      <c r="P140" s="677">
        <v>1</v>
      </c>
      <c r="Q140" s="878">
        <f t="shared" si="15"/>
        <v>750</v>
      </c>
      <c r="R140" s="542"/>
      <c r="S140" s="11"/>
      <c r="T140" s="456"/>
    </row>
    <row r="141" spans="1:20" s="456" customFormat="1" ht="15" customHeight="1">
      <c r="A141" s="14" t="s">
        <v>71</v>
      </c>
      <c r="B141" s="14" t="s">
        <v>70</v>
      </c>
      <c r="C141" s="14" t="s">
        <v>1726</v>
      </c>
      <c r="D141" s="761">
        <v>41821</v>
      </c>
      <c r="E141" s="761" t="s">
        <v>53</v>
      </c>
      <c r="F141" s="522">
        <v>41786</v>
      </c>
      <c r="G141" s="425">
        <v>2</v>
      </c>
      <c r="H141" s="800">
        <v>316.55</v>
      </c>
      <c r="I141" s="502"/>
      <c r="J141" s="543">
        <v>41796</v>
      </c>
      <c r="K141" s="635">
        <v>306.8</v>
      </c>
      <c r="L141" s="429">
        <v>0.05</v>
      </c>
      <c r="M141" s="636">
        <v>12.5</v>
      </c>
      <c r="N141" s="764">
        <f>SUM((K141-H141)/L141*M141)*G141</f>
        <v>-4875</v>
      </c>
      <c r="O141" s="760" t="s">
        <v>884</v>
      </c>
      <c r="P141" s="759">
        <v>1</v>
      </c>
      <c r="Q141" s="833">
        <f t="shared" si="15"/>
        <v>-4875</v>
      </c>
      <c r="R141" s="541"/>
      <c r="S141" s="11"/>
      <c r="T141" s="14"/>
    </row>
    <row r="142" spans="1:20" s="14" customFormat="1" ht="15" customHeight="1">
      <c r="A142" s="14" t="s">
        <v>1256</v>
      </c>
      <c r="B142" s="14" t="s">
        <v>79</v>
      </c>
      <c r="C142" s="14" t="s">
        <v>1755</v>
      </c>
      <c r="D142" s="761">
        <v>41821</v>
      </c>
      <c r="E142" s="761" t="s">
        <v>53</v>
      </c>
      <c r="F142" s="522">
        <v>41802</v>
      </c>
      <c r="G142" s="425">
        <v>2</v>
      </c>
      <c r="H142" s="800">
        <v>105.19</v>
      </c>
      <c r="I142" s="502"/>
      <c r="J142" s="543">
        <v>41810</v>
      </c>
      <c r="K142" s="635">
        <v>107.73</v>
      </c>
      <c r="L142" s="429">
        <v>0.01</v>
      </c>
      <c r="M142" s="636">
        <v>10</v>
      </c>
      <c r="N142" s="764">
        <f>SUM((K142-H142)/L142*M142)*G142</f>
        <v>5080.0000000000127</v>
      </c>
      <c r="O142" s="760" t="s">
        <v>884</v>
      </c>
      <c r="P142" s="759">
        <v>1</v>
      </c>
      <c r="Q142" s="833">
        <f t="shared" ref="Q142:Q147" si="16">SUM(N142*P142)</f>
        <v>5080.0000000000127</v>
      </c>
      <c r="R142" s="541" t="s">
        <v>3</v>
      </c>
      <c r="S142" s="11"/>
    </row>
    <row r="143" spans="1:20" s="14" customFormat="1" ht="15" customHeight="1">
      <c r="A143" s="456" t="s">
        <v>1310</v>
      </c>
      <c r="B143" s="456" t="s">
        <v>976</v>
      </c>
      <c r="C143" s="456" t="s">
        <v>1659</v>
      </c>
      <c r="D143" s="786">
        <v>41821</v>
      </c>
      <c r="E143" s="786" t="s">
        <v>78</v>
      </c>
      <c r="F143" s="505">
        <v>41775</v>
      </c>
      <c r="G143" s="484">
        <v>3</v>
      </c>
      <c r="H143" s="801">
        <v>480.75</v>
      </c>
      <c r="I143" s="789"/>
      <c r="J143" s="543">
        <v>41752</v>
      </c>
      <c r="K143" s="675">
        <v>441.5</v>
      </c>
      <c r="L143" s="466">
        <v>0.25</v>
      </c>
      <c r="M143" s="651">
        <v>12.75</v>
      </c>
      <c r="N143" s="791">
        <f>SUM((H143-K143)/L143*M143)*G143</f>
        <v>6005.25</v>
      </c>
      <c r="O143" s="760" t="s">
        <v>884</v>
      </c>
      <c r="P143" s="677">
        <v>1</v>
      </c>
      <c r="Q143" s="878">
        <f t="shared" si="16"/>
        <v>6005.25</v>
      </c>
      <c r="R143" s="542" t="s">
        <v>1765</v>
      </c>
      <c r="S143" s="11"/>
      <c r="T143" s="456"/>
    </row>
    <row r="144" spans="1:20" s="456" customFormat="1" ht="15" customHeight="1">
      <c r="A144" s="14" t="s">
        <v>1603</v>
      </c>
      <c r="B144" s="14" t="s">
        <v>1066</v>
      </c>
      <c r="C144" s="14" t="s">
        <v>1712</v>
      </c>
      <c r="D144" s="761">
        <v>41821</v>
      </c>
      <c r="E144" s="761" t="s">
        <v>53</v>
      </c>
      <c r="F144" s="522">
        <v>41807</v>
      </c>
      <c r="G144" s="425">
        <v>3</v>
      </c>
      <c r="H144" s="800">
        <v>88.7</v>
      </c>
      <c r="I144" s="502"/>
      <c r="J144" s="543">
        <v>41813</v>
      </c>
      <c r="K144" s="635">
        <v>87.67</v>
      </c>
      <c r="L144" s="429">
        <v>0.01</v>
      </c>
      <c r="M144" s="636">
        <v>5</v>
      </c>
      <c r="N144" s="764">
        <f>SUM((K144-H144)/L144*M144)*G144</f>
        <v>-1545.0000000000018</v>
      </c>
      <c r="O144" s="760" t="s">
        <v>884</v>
      </c>
      <c r="P144" s="759">
        <v>1</v>
      </c>
      <c r="Q144" s="833">
        <f t="shared" si="16"/>
        <v>-1545.0000000000018</v>
      </c>
      <c r="R144" s="541" t="s">
        <v>1765</v>
      </c>
      <c r="S144" s="11"/>
      <c r="T144" s="14"/>
    </row>
    <row r="145" spans="1:20" s="14" customFormat="1" ht="15" customHeight="1">
      <c r="A145" s="14" t="s">
        <v>1310</v>
      </c>
      <c r="B145" s="14" t="s">
        <v>1311</v>
      </c>
      <c r="C145" s="14" t="s">
        <v>1766</v>
      </c>
      <c r="D145" s="761">
        <v>41883</v>
      </c>
      <c r="E145" s="761" t="s">
        <v>53</v>
      </c>
      <c r="F145" s="522">
        <v>41813</v>
      </c>
      <c r="G145" s="425">
        <v>7</v>
      </c>
      <c r="H145" s="800">
        <v>441.5</v>
      </c>
      <c r="I145" s="502"/>
      <c r="J145" s="543">
        <v>41815</v>
      </c>
      <c r="K145" s="635">
        <v>457.5</v>
      </c>
      <c r="L145" s="429">
        <v>1</v>
      </c>
      <c r="M145" s="636">
        <v>10</v>
      </c>
      <c r="N145" s="764">
        <f t="shared" ref="N145:N146" si="17">SUM((K145-H145)/L145*M145)*G145</f>
        <v>1120</v>
      </c>
      <c r="O145" s="760" t="s">
        <v>884</v>
      </c>
      <c r="P145" s="759">
        <v>1</v>
      </c>
      <c r="Q145" s="833">
        <f t="shared" si="16"/>
        <v>1120</v>
      </c>
      <c r="R145" s="541"/>
      <c r="S145" s="11"/>
    </row>
    <row r="146" spans="1:20" s="14" customFormat="1" ht="15" customHeight="1">
      <c r="A146" s="14" t="s">
        <v>1603</v>
      </c>
      <c r="B146" s="14" t="s">
        <v>1311</v>
      </c>
      <c r="C146" s="14" t="s">
        <v>1771</v>
      </c>
      <c r="D146" s="761">
        <v>41913</v>
      </c>
      <c r="E146" s="761" t="s">
        <v>53</v>
      </c>
      <c r="F146" s="522">
        <v>41813</v>
      </c>
      <c r="G146" s="425">
        <v>5</v>
      </c>
      <c r="H146" s="800">
        <v>78.25</v>
      </c>
      <c r="I146" s="502" t="s">
        <v>3</v>
      </c>
      <c r="J146" s="543">
        <v>41817</v>
      </c>
      <c r="K146" s="635">
        <v>83.86</v>
      </c>
      <c r="L146" s="429">
        <v>1</v>
      </c>
      <c r="M146" s="636">
        <v>10</v>
      </c>
      <c r="N146" s="764">
        <f t="shared" si="17"/>
        <v>280.5</v>
      </c>
      <c r="O146" s="760" t="s">
        <v>884</v>
      </c>
      <c r="P146" s="759">
        <v>1</v>
      </c>
      <c r="Q146" s="833">
        <f t="shared" si="16"/>
        <v>280.5</v>
      </c>
      <c r="R146" s="541"/>
      <c r="S146" s="11"/>
    </row>
    <row r="147" spans="1:20" s="456" customFormat="1" ht="15" customHeight="1">
      <c r="A147" s="14" t="s">
        <v>1286</v>
      </c>
      <c r="B147" s="14" t="s">
        <v>921</v>
      </c>
      <c r="C147" s="14" t="s">
        <v>1692</v>
      </c>
      <c r="D147" s="761">
        <v>41821</v>
      </c>
      <c r="E147" s="761" t="s">
        <v>53</v>
      </c>
      <c r="F147" s="522">
        <v>41808</v>
      </c>
      <c r="G147" s="425">
        <v>4</v>
      </c>
      <c r="H147" s="800">
        <v>40.29</v>
      </c>
      <c r="I147" s="502"/>
      <c r="J147" s="543">
        <v>41820</v>
      </c>
      <c r="K147" s="635">
        <v>39.65</v>
      </c>
      <c r="L147" s="429">
        <v>1</v>
      </c>
      <c r="M147" s="636">
        <v>10</v>
      </c>
      <c r="N147" s="764">
        <f>SUM((K147-H147)/L147*M147)*G147</f>
        <v>-25.600000000000023</v>
      </c>
      <c r="O147" s="760" t="s">
        <v>884</v>
      </c>
      <c r="P147" s="759">
        <v>1</v>
      </c>
      <c r="Q147" s="833">
        <f t="shared" si="16"/>
        <v>-25.600000000000023</v>
      </c>
      <c r="R147" s="541"/>
      <c r="S147" s="11"/>
      <c r="T147" s="14"/>
    </row>
    <row r="148" spans="1:20" s="14" customFormat="1" ht="15" customHeight="1">
      <c r="A148" s="456" t="s">
        <v>46</v>
      </c>
      <c r="B148" s="456" t="s">
        <v>981</v>
      </c>
      <c r="C148" s="456" t="s">
        <v>1725</v>
      </c>
      <c r="D148" s="786">
        <v>41821</v>
      </c>
      <c r="E148" s="786" t="s">
        <v>78</v>
      </c>
      <c r="F148" s="505">
        <v>41786</v>
      </c>
      <c r="G148" s="484">
        <v>2</v>
      </c>
      <c r="H148" s="801">
        <v>645</v>
      </c>
      <c r="I148" s="789"/>
      <c r="J148" s="543">
        <v>41827</v>
      </c>
      <c r="K148" s="675">
        <v>568</v>
      </c>
      <c r="L148" s="466">
        <v>0.25</v>
      </c>
      <c r="M148" s="651">
        <v>12.5</v>
      </c>
      <c r="N148" s="791">
        <f>SUM((H148-K148)/L148*M148)*G148</f>
        <v>7700</v>
      </c>
      <c r="O148" s="760" t="s">
        <v>884</v>
      </c>
      <c r="P148" s="677">
        <v>1</v>
      </c>
      <c r="Q148" s="878">
        <f>SUM(N148*P148)</f>
        <v>7700</v>
      </c>
      <c r="R148" s="542"/>
      <c r="S148" s="11"/>
      <c r="T148" s="456"/>
    </row>
    <row r="149" spans="1:20" s="456" customFormat="1" ht="15" customHeight="1">
      <c r="A149" s="14"/>
      <c r="B149" s="14"/>
      <c r="C149" s="14"/>
      <c r="D149" s="761"/>
      <c r="E149" s="761"/>
      <c r="F149" s="522"/>
      <c r="G149" s="425"/>
      <c r="H149" s="800"/>
      <c r="I149" s="502"/>
      <c r="J149" s="775"/>
      <c r="K149" s="635"/>
      <c r="L149" s="429"/>
      <c r="M149" s="636"/>
      <c r="N149" s="764"/>
      <c r="O149" s="760"/>
      <c r="P149" s="759"/>
      <c r="Q149" s="833"/>
      <c r="R149" s="541"/>
      <c r="S149" s="11"/>
      <c r="T149" s="14"/>
    </row>
    <row r="150" spans="1:20" s="456" customFormat="1" ht="15" customHeight="1">
      <c r="A150" s="14"/>
      <c r="B150" s="14"/>
      <c r="C150" s="14"/>
      <c r="D150" s="761"/>
      <c r="E150" s="761"/>
      <c r="F150" s="522"/>
      <c r="G150" s="425"/>
      <c r="H150" s="800"/>
      <c r="I150" s="502"/>
      <c r="J150" s="775"/>
      <c r="K150" s="635"/>
      <c r="L150" s="429"/>
      <c r="M150" s="636"/>
      <c r="N150" s="764"/>
      <c r="O150" s="760"/>
      <c r="P150" s="759"/>
      <c r="Q150" s="833"/>
      <c r="R150" s="541"/>
      <c r="S150" s="11"/>
      <c r="T150" s="14"/>
    </row>
    <row r="151" spans="1:20" s="456" customFormat="1" ht="15" customHeight="1">
      <c r="A151" s="14"/>
      <c r="B151" s="14"/>
      <c r="C151" s="14"/>
      <c r="D151" s="761"/>
      <c r="E151" s="761"/>
      <c r="F151" s="522"/>
      <c r="G151" s="425"/>
      <c r="H151" s="800"/>
      <c r="I151" s="502"/>
      <c r="J151" s="775"/>
      <c r="K151" s="635"/>
      <c r="L151" s="429"/>
      <c r="M151" s="636"/>
      <c r="N151" s="764"/>
      <c r="O151" s="760"/>
      <c r="P151" s="759"/>
      <c r="Q151" s="833"/>
      <c r="R151" s="541"/>
      <c r="S151" s="11"/>
      <c r="T151" s="14"/>
    </row>
    <row r="152" spans="1:20" s="100" customFormat="1" ht="15" customHeight="1">
      <c r="A152" s="498"/>
      <c r="B152" s="498"/>
      <c r="C152" s="2"/>
      <c r="D152" s="2"/>
      <c r="E152" s="80"/>
      <c r="F152" s="79"/>
      <c r="G152" s="78"/>
      <c r="H152" s="266"/>
      <c r="I152" s="99"/>
      <c r="J152" s="79"/>
      <c r="K152" s="255"/>
      <c r="L152" s="887"/>
      <c r="M152" s="102"/>
      <c r="N152" s="178"/>
      <c r="O152" s="78"/>
      <c r="P152" s="186"/>
      <c r="Q152" s="179"/>
      <c r="R152" s="81"/>
      <c r="S152" s="119"/>
    </row>
    <row r="153" spans="1:20" s="14" customFormat="1" ht="16.5" thickBot="1">
      <c r="A153" s="39" t="s">
        <v>39</v>
      </c>
      <c r="B153" s="39"/>
      <c r="C153" s="39"/>
      <c r="D153" s="75"/>
      <c r="E153" s="75"/>
      <c r="F153" s="306"/>
      <c r="G153" s="39"/>
      <c r="H153" s="272"/>
      <c r="I153" s="41"/>
      <c r="J153" s="42"/>
      <c r="K153" s="154"/>
      <c r="L153" s="252"/>
      <c r="M153" s="133"/>
      <c r="N153" s="111"/>
      <c r="O153" s="75"/>
      <c r="P153" s="172"/>
      <c r="Q153" s="218">
        <f>SUM(Q30:Q146)</f>
        <v>99671.646969612731</v>
      </c>
      <c r="R153" s="41"/>
      <c r="S153" s="11"/>
    </row>
    <row r="154" spans="1:20" ht="11.25" customHeight="1" thickTop="1">
      <c r="A154" s="456"/>
      <c r="B154" s="456"/>
      <c r="C154" s="27"/>
      <c r="D154" s="71"/>
      <c r="E154" s="71"/>
      <c r="F154" s="20"/>
      <c r="G154" s="10"/>
      <c r="H154" s="261"/>
      <c r="I154" s="9"/>
      <c r="J154" s="26"/>
      <c r="K154" s="149"/>
      <c r="L154" s="247"/>
      <c r="M154" s="129"/>
      <c r="N154" s="107"/>
      <c r="P154" s="167"/>
      <c r="Q154" s="139"/>
      <c r="R154" s="9"/>
    </row>
    <row r="156" spans="1:20" ht="11.25" customHeight="1">
      <c r="F156" s="4" t="s">
        <v>3</v>
      </c>
    </row>
  </sheetData>
  <sortState ref="A14:T16">
    <sortCondition ref="B14:B16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71:N72 N48 N100:N101 N10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176"/>
  <sheetViews>
    <sheetView zoomScale="85" zoomScaleNormal="85" workbookViewId="0">
      <selection activeCell="J170" sqref="J170"/>
    </sheetView>
  </sheetViews>
  <sheetFormatPr defaultColWidth="9.140625" defaultRowHeight="15.75"/>
  <cols>
    <col min="1" max="1" width="30.28515625" style="425" customWidth="1"/>
    <col min="2" max="2" width="8" style="425" customWidth="1"/>
    <col min="3" max="3" width="11.42578125" style="425" customWidth="1"/>
    <col min="4" max="4" width="10.28515625" style="760" customWidth="1"/>
    <col min="5" max="5" width="4.85546875" style="761" bestFit="1" customWidth="1"/>
    <col min="6" max="6" width="14.28515625" style="425" customWidth="1"/>
    <col min="7" max="7" width="4.140625" style="425" customWidth="1"/>
    <col min="8" max="8" width="12.5703125" style="429" customWidth="1"/>
    <col min="9" max="9" width="2.28515625" style="425" customWidth="1"/>
    <col min="10" max="10" width="14.28515625" style="427" customWidth="1"/>
    <col min="11" max="11" width="13" style="800" customWidth="1"/>
    <col min="12" max="12" width="8.85546875" style="763" bestFit="1" customWidth="1"/>
    <col min="13" max="13" width="9.5703125" style="426" bestFit="1" customWidth="1"/>
    <col min="14" max="14" width="17.140625" style="764" bestFit="1" customWidth="1"/>
    <col min="15" max="15" width="10.7109375" style="760" customWidth="1"/>
    <col min="16" max="16" width="13.5703125" style="759" bestFit="1" customWidth="1"/>
    <col min="17" max="17" width="13.140625" style="430" customWidth="1"/>
    <col min="18" max="18" width="34.42578125" style="541" customWidth="1"/>
    <col min="19" max="19" width="11" style="1" bestFit="1" customWidth="1"/>
    <col min="20" max="16384" width="9.140625" style="1"/>
  </cols>
  <sheetData>
    <row r="2" spans="1:20">
      <c r="A2" s="11" t="s">
        <v>902</v>
      </c>
      <c r="H2" s="762"/>
      <c r="I2" s="762"/>
      <c r="J2" s="762"/>
      <c r="K2" s="889"/>
    </row>
    <row r="3" spans="1:20">
      <c r="A3" s="11"/>
      <c r="H3" s="765"/>
      <c r="I3" s="765"/>
      <c r="J3" s="765"/>
      <c r="K3" s="889"/>
    </row>
    <row r="4" spans="1:20" s="7" customFormat="1" ht="16.5" thickBot="1">
      <c r="A4" s="432">
        <f>SUM(N6,N24)</f>
        <v>129475.83458349113</v>
      </c>
      <c r="B4" s="11"/>
      <c r="C4" s="11"/>
      <c r="D4" s="766"/>
      <c r="E4" s="434"/>
      <c r="F4" s="433"/>
      <c r="G4" s="11"/>
      <c r="H4" s="767"/>
      <c r="I4" s="11"/>
      <c r="J4" s="23"/>
      <c r="K4" s="890"/>
      <c r="L4" s="768"/>
      <c r="M4" s="298"/>
      <c r="N4" s="769"/>
      <c r="O4" s="766"/>
      <c r="P4" s="770"/>
      <c r="Q4" s="438"/>
      <c r="R4" s="771"/>
    </row>
    <row r="5" spans="1:20" s="7" customFormat="1" ht="16.5" thickTop="1">
      <c r="A5" s="805"/>
      <c r="B5" s="11"/>
      <c r="C5" s="11"/>
      <c r="D5" s="766"/>
      <c r="E5" s="766"/>
      <c r="F5" s="433"/>
      <c r="G5" s="11"/>
      <c r="H5" s="772"/>
      <c r="I5" s="11"/>
      <c r="J5" s="23"/>
      <c r="K5" s="890"/>
      <c r="L5" s="768"/>
      <c r="M5" s="298"/>
      <c r="N5" s="769"/>
      <c r="O5" s="766"/>
      <c r="P5" s="770"/>
      <c r="Q5" s="438"/>
      <c r="R5" s="771"/>
    </row>
    <row r="6" spans="1:20" s="14" customFormat="1">
      <c r="A6" s="203"/>
      <c r="B6" s="204"/>
      <c r="C6" s="204"/>
      <c r="D6" s="223"/>
      <c r="E6" s="223"/>
      <c r="F6" s="204"/>
      <c r="G6" s="204" t="s">
        <v>36</v>
      </c>
      <c r="H6" s="246"/>
      <c r="I6" s="204"/>
      <c r="J6" s="207"/>
      <c r="K6" s="891"/>
      <c r="L6" s="224"/>
      <c r="M6" s="225"/>
      <c r="N6" s="226">
        <f>SUM(Q19)</f>
        <v>20957.50000000004</v>
      </c>
      <c r="O6" s="223"/>
      <c r="P6" s="233"/>
      <c r="Q6" s="293"/>
      <c r="R6" s="228"/>
      <c r="S6" s="3"/>
    </row>
    <row r="7" spans="1:20" s="2" customFormat="1" ht="15" customHeight="1">
      <c r="A7" s="14"/>
      <c r="B7" s="14" t="s">
        <v>678</v>
      </c>
      <c r="C7" s="14"/>
      <c r="D7" s="761" t="s">
        <v>9</v>
      </c>
      <c r="E7" s="761"/>
      <c r="F7" s="14" t="s">
        <v>17</v>
      </c>
      <c r="G7" s="14" t="s">
        <v>41</v>
      </c>
      <c r="H7" s="437" t="s">
        <v>19</v>
      </c>
      <c r="I7" s="14"/>
      <c r="J7" s="439" t="s">
        <v>886</v>
      </c>
      <c r="K7" s="892" t="s">
        <v>681</v>
      </c>
      <c r="L7" s="768" t="s">
        <v>5</v>
      </c>
      <c r="M7" s="298" t="s">
        <v>16</v>
      </c>
      <c r="N7" s="773" t="s">
        <v>1757</v>
      </c>
      <c r="O7" s="761" t="s">
        <v>678</v>
      </c>
      <c r="P7" s="629" t="s">
        <v>10</v>
      </c>
      <c r="Q7" s="438" t="s">
        <v>15</v>
      </c>
      <c r="R7" s="774" t="s">
        <v>4</v>
      </c>
    </row>
    <row r="8" spans="1:20" s="2" customFormat="1" ht="15" customHeight="1">
      <c r="A8" s="14"/>
      <c r="B8" s="14" t="s">
        <v>0</v>
      </c>
      <c r="C8" s="14" t="s">
        <v>8</v>
      </c>
      <c r="D8" s="761" t="s">
        <v>679</v>
      </c>
      <c r="E8" s="761" t="s">
        <v>181</v>
      </c>
      <c r="F8" s="14" t="s">
        <v>25</v>
      </c>
      <c r="G8" s="14"/>
      <c r="H8" s="437"/>
      <c r="I8" s="14"/>
      <c r="J8" s="439" t="s">
        <v>887</v>
      </c>
      <c r="K8" s="892" t="s">
        <v>18</v>
      </c>
      <c r="L8" s="768"/>
      <c r="M8" s="298" t="s">
        <v>42</v>
      </c>
      <c r="N8" s="773" t="s">
        <v>683</v>
      </c>
      <c r="O8" s="761" t="s">
        <v>680</v>
      </c>
      <c r="P8" s="629" t="s">
        <v>839</v>
      </c>
      <c r="Q8" s="440" t="s">
        <v>884</v>
      </c>
      <c r="R8" s="774"/>
    </row>
    <row r="9" spans="1:20" s="2" customFormat="1" ht="15" customHeight="1">
      <c r="A9" s="14"/>
      <c r="B9" s="14"/>
      <c r="C9" s="14"/>
      <c r="D9" s="761"/>
      <c r="E9" s="761"/>
      <c r="F9" s="14"/>
      <c r="G9" s="14"/>
      <c r="H9" s="437"/>
      <c r="I9" s="14"/>
      <c r="J9" s="439"/>
      <c r="K9" s="892"/>
      <c r="L9" s="768"/>
      <c r="M9" s="298"/>
      <c r="N9" s="773"/>
      <c r="O9" s="761"/>
      <c r="P9" s="629" t="s">
        <v>19</v>
      </c>
      <c r="Q9" s="438"/>
      <c r="R9" s="774"/>
    </row>
    <row r="10" spans="1:20" s="327" customFormat="1" ht="14.25" customHeight="1">
      <c r="A10" s="14" t="s">
        <v>939</v>
      </c>
      <c r="B10" s="14" t="s">
        <v>33</v>
      </c>
      <c r="C10" s="14" t="s">
        <v>40</v>
      </c>
      <c r="D10" s="761">
        <v>40919</v>
      </c>
      <c r="E10" s="761" t="s">
        <v>53</v>
      </c>
      <c r="F10" s="439">
        <v>40544</v>
      </c>
      <c r="G10" s="14">
        <v>1</v>
      </c>
      <c r="H10" s="437">
        <v>1</v>
      </c>
      <c r="I10" s="502"/>
      <c r="J10" s="775"/>
      <c r="K10" s="800">
        <v>1</v>
      </c>
      <c r="L10" s="763">
        <v>1</v>
      </c>
      <c r="M10" s="636">
        <v>10</v>
      </c>
      <c r="N10" s="764">
        <f>SUM((K10-H10)/L10*M10)*G10</f>
        <v>0</v>
      </c>
      <c r="O10" s="761" t="s">
        <v>884</v>
      </c>
      <c r="P10" s="759">
        <v>1</v>
      </c>
      <c r="Q10" s="430">
        <f>SUM(N10*P10)</f>
        <v>0</v>
      </c>
      <c r="R10" s="774"/>
    </row>
    <row r="11" spans="1:20" s="544" customFormat="1" ht="15" customHeight="1">
      <c r="A11" s="619" t="s">
        <v>940</v>
      </c>
      <c r="B11" s="619" t="s">
        <v>33</v>
      </c>
      <c r="C11" s="619" t="s">
        <v>40</v>
      </c>
      <c r="D11" s="776">
        <v>40919</v>
      </c>
      <c r="E11" s="776" t="s">
        <v>78</v>
      </c>
      <c r="F11" s="777">
        <v>40544</v>
      </c>
      <c r="G11" s="619">
        <v>1</v>
      </c>
      <c r="H11" s="778">
        <v>1</v>
      </c>
      <c r="I11" s="779"/>
      <c r="J11" s="775"/>
      <c r="K11" s="780">
        <v>1</v>
      </c>
      <c r="L11" s="781">
        <v>1</v>
      </c>
      <c r="M11" s="806">
        <v>10</v>
      </c>
      <c r="N11" s="783">
        <f>SUM((H11-K11)/L11*M11)*G11</f>
        <v>0</v>
      </c>
      <c r="O11" s="776" t="s">
        <v>884</v>
      </c>
      <c r="P11" s="784">
        <v>1</v>
      </c>
      <c r="Q11" s="807">
        <f>SUM(N11*P11)</f>
        <v>0</v>
      </c>
      <c r="R11" s="785"/>
    </row>
    <row r="12" spans="1:20" s="17" customFormat="1" ht="15" customHeight="1">
      <c r="A12" s="456"/>
      <c r="B12" s="456"/>
      <c r="C12" s="456"/>
      <c r="D12" s="786"/>
      <c r="E12" s="786"/>
      <c r="F12" s="787"/>
      <c r="G12" s="456"/>
      <c r="H12" s="788"/>
      <c r="I12" s="789"/>
      <c r="J12" s="543"/>
      <c r="K12" s="801"/>
      <c r="L12" s="790"/>
      <c r="M12" s="651"/>
      <c r="N12" s="791"/>
      <c r="O12" s="786"/>
      <c r="P12" s="677"/>
      <c r="Q12" s="475"/>
      <c r="R12" s="792"/>
    </row>
    <row r="13" spans="1:20" s="327" customFormat="1" ht="14.25" customHeight="1">
      <c r="A13" s="619" t="s">
        <v>1256</v>
      </c>
      <c r="B13" s="619" t="s">
        <v>79</v>
      </c>
      <c r="C13" s="619" t="s">
        <v>1749</v>
      </c>
      <c r="D13" s="776">
        <v>41852</v>
      </c>
      <c r="E13" s="776" t="s">
        <v>78</v>
      </c>
      <c r="F13" s="777">
        <v>41821</v>
      </c>
      <c r="G13" s="619">
        <v>3</v>
      </c>
      <c r="H13" s="778">
        <v>104.48</v>
      </c>
      <c r="I13" s="779"/>
      <c r="J13" s="775">
        <v>103.5</v>
      </c>
      <c r="K13" s="780">
        <v>100.8</v>
      </c>
      <c r="L13" s="781">
        <v>0.01</v>
      </c>
      <c r="M13" s="806">
        <v>10</v>
      </c>
      <c r="N13" s="783">
        <f>SUM((H13-K13)/L13*M13)*G13</f>
        <v>11040.00000000002</v>
      </c>
      <c r="O13" s="776" t="s">
        <v>884</v>
      </c>
      <c r="P13" s="784">
        <v>1</v>
      </c>
      <c r="Q13" s="807">
        <f>SUM(N13*P13)</f>
        <v>11040.00000000002</v>
      </c>
      <c r="R13" s="785"/>
      <c r="S13" s="544"/>
      <c r="T13" s="544"/>
    </row>
    <row r="14" spans="1:20" s="544" customFormat="1" ht="15" customHeight="1">
      <c r="A14" s="619" t="s">
        <v>48</v>
      </c>
      <c r="B14" s="619" t="s">
        <v>47</v>
      </c>
      <c r="C14" s="619" t="s">
        <v>1714</v>
      </c>
      <c r="D14" s="776">
        <v>41852</v>
      </c>
      <c r="E14" s="776" t="s">
        <v>78</v>
      </c>
      <c r="F14" s="777">
        <v>41829</v>
      </c>
      <c r="G14" s="619">
        <v>3</v>
      </c>
      <c r="H14" s="778">
        <v>214.02500000000001</v>
      </c>
      <c r="I14" s="779"/>
      <c r="J14" s="775">
        <v>213.2</v>
      </c>
      <c r="K14" s="780">
        <v>210.4</v>
      </c>
      <c r="L14" s="781">
        <v>2.5000000000000001E-2</v>
      </c>
      <c r="M14" s="806">
        <v>12.5</v>
      </c>
      <c r="N14" s="783">
        <f>SUM((H14-K14)/L14*M14)*G14</f>
        <v>5437.5</v>
      </c>
      <c r="O14" s="776" t="s">
        <v>884</v>
      </c>
      <c r="P14" s="784">
        <v>1</v>
      </c>
      <c r="Q14" s="807">
        <f>SUM(N14*P14)</f>
        <v>5437.5</v>
      </c>
      <c r="R14" s="785"/>
    </row>
    <row r="15" spans="1:20" s="544" customFormat="1" ht="15" customHeight="1">
      <c r="A15" s="619" t="s">
        <v>86</v>
      </c>
      <c r="B15" s="619" t="s">
        <v>85</v>
      </c>
      <c r="C15" s="619" t="s">
        <v>1780</v>
      </c>
      <c r="D15" s="776">
        <v>41852</v>
      </c>
      <c r="E15" s="776" t="s">
        <v>78</v>
      </c>
      <c r="F15" s="777">
        <v>41829</v>
      </c>
      <c r="G15" s="619">
        <v>4</v>
      </c>
      <c r="H15" s="778">
        <v>151.9</v>
      </c>
      <c r="I15" s="779"/>
      <c r="J15" s="775">
        <v>150.82499999999999</v>
      </c>
      <c r="K15" s="780">
        <v>149.1</v>
      </c>
      <c r="L15" s="781">
        <v>2.5000000000000001E-2</v>
      </c>
      <c r="M15" s="806">
        <v>10</v>
      </c>
      <c r="N15" s="783">
        <f>SUM((H15-K15)/L15*M15)*G15</f>
        <v>4480.0000000000182</v>
      </c>
      <c r="O15" s="776" t="s">
        <v>884</v>
      </c>
      <c r="P15" s="784">
        <v>1</v>
      </c>
      <c r="Q15" s="807">
        <f>SUM(N15*P15)</f>
        <v>4480.0000000000182</v>
      </c>
      <c r="R15" s="785"/>
    </row>
    <row r="17" spans="1:19" s="544" customFormat="1" ht="15" customHeight="1">
      <c r="A17" s="619"/>
      <c r="B17" s="619"/>
      <c r="C17" s="619"/>
      <c r="D17" s="776"/>
      <c r="E17" s="776"/>
      <c r="F17" s="777"/>
      <c r="G17" s="619"/>
      <c r="H17" s="778"/>
      <c r="I17" s="779"/>
      <c r="J17" s="775"/>
      <c r="K17" s="780"/>
      <c r="L17" s="781"/>
      <c r="M17" s="806"/>
      <c r="N17" s="783"/>
      <c r="O17" s="776"/>
      <c r="P17" s="784"/>
      <c r="Q17" s="807"/>
      <c r="R17" s="785"/>
    </row>
    <row r="18" spans="1:19" s="425" customFormat="1" ht="15" customHeight="1">
      <c r="A18" s="484"/>
      <c r="B18" s="484"/>
      <c r="C18" s="484"/>
      <c r="D18" s="793"/>
      <c r="E18" s="786"/>
      <c r="F18" s="468"/>
      <c r="G18" s="484"/>
      <c r="H18" s="466"/>
      <c r="I18" s="468"/>
      <c r="J18" s="676"/>
      <c r="K18" s="801"/>
      <c r="L18" s="763"/>
      <c r="M18" s="426"/>
      <c r="N18" s="764"/>
      <c r="O18" s="793"/>
      <c r="P18" s="677"/>
      <c r="Q18" s="876"/>
      <c r="R18" s="542"/>
    </row>
    <row r="19" spans="1:19" s="14" customFormat="1" ht="16.5" thickBot="1">
      <c r="A19" s="35" t="s">
        <v>38</v>
      </c>
      <c r="B19" s="35"/>
      <c r="C19" s="35"/>
      <c r="D19" s="72"/>
      <c r="E19" s="72"/>
      <c r="F19" s="35"/>
      <c r="G19" s="35"/>
      <c r="H19" s="248"/>
      <c r="I19" s="37"/>
      <c r="J19" s="38"/>
      <c r="K19" s="262"/>
      <c r="L19" s="95"/>
      <c r="M19" s="36"/>
      <c r="N19" s="108"/>
      <c r="O19" s="72"/>
      <c r="P19" s="168"/>
      <c r="Q19" s="237">
        <f>SUM(Q12:Q18)</f>
        <v>20957.50000000004</v>
      </c>
      <c r="R19" s="37"/>
      <c r="S19" s="3"/>
    </row>
    <row r="20" spans="1:19" s="14" customFormat="1" ht="16.5" thickTop="1">
      <c r="A20" s="48"/>
      <c r="B20" s="48"/>
      <c r="C20" s="48"/>
      <c r="D20" s="73"/>
      <c r="E20" s="73"/>
      <c r="F20" s="48"/>
      <c r="G20" s="48"/>
      <c r="H20" s="249"/>
      <c r="I20" s="50"/>
      <c r="J20" s="51"/>
      <c r="K20" s="263"/>
      <c r="L20" s="96"/>
      <c r="M20" s="49"/>
      <c r="N20" s="109"/>
      <c r="O20" s="73"/>
      <c r="P20" s="169"/>
      <c r="Q20" s="294"/>
      <c r="R20" s="50"/>
      <c r="S20" s="3"/>
    </row>
    <row r="21" spans="1:19">
      <c r="A21" s="478"/>
      <c r="B21" s="478"/>
      <c r="C21" s="478"/>
      <c r="D21" s="794"/>
      <c r="E21" s="795"/>
      <c r="F21" s="477"/>
      <c r="G21" s="478"/>
      <c r="H21" s="482"/>
      <c r="I21" s="477"/>
      <c r="J21" s="480"/>
      <c r="K21" s="893"/>
      <c r="L21" s="796"/>
      <c r="M21" s="479"/>
      <c r="N21" s="797"/>
      <c r="O21" s="794"/>
      <c r="P21" s="684"/>
      <c r="Q21" s="483"/>
      <c r="R21" s="477"/>
    </row>
    <row r="22" spans="1:19">
      <c r="A22" s="478"/>
      <c r="B22" s="478"/>
      <c r="C22" s="478"/>
      <c r="D22" s="794"/>
      <c r="E22" s="795"/>
      <c r="F22" s="478"/>
      <c r="G22" s="478"/>
      <c r="H22" s="482"/>
      <c r="I22" s="478"/>
      <c r="J22" s="480"/>
      <c r="K22" s="893"/>
      <c r="L22" s="796"/>
      <c r="M22" s="479"/>
      <c r="N22" s="797"/>
      <c r="O22" s="794"/>
      <c r="P22" s="684"/>
      <c r="Q22" s="483"/>
      <c r="R22" s="477"/>
    </row>
    <row r="23" spans="1:19">
      <c r="A23" s="484"/>
      <c r="B23" s="484"/>
      <c r="C23" s="484"/>
      <c r="D23" s="793"/>
      <c r="E23" s="786"/>
      <c r="F23" s="484"/>
      <c r="G23" s="484"/>
      <c r="H23" s="466"/>
      <c r="I23" s="484"/>
      <c r="J23" s="485"/>
      <c r="K23" s="801"/>
      <c r="L23" s="790"/>
      <c r="M23" s="470"/>
      <c r="N23" s="791"/>
      <c r="O23" s="793"/>
      <c r="P23" s="677"/>
      <c r="Q23" s="475"/>
      <c r="R23" s="542"/>
    </row>
    <row r="24" spans="1:19" s="22" customFormat="1" ht="18.75">
      <c r="A24" s="685"/>
      <c r="B24" s="487"/>
      <c r="C24" s="487"/>
      <c r="D24" s="798"/>
      <c r="E24" s="798"/>
      <c r="F24" s="487"/>
      <c r="G24" s="487" t="s">
        <v>37</v>
      </c>
      <c r="H24" s="799"/>
      <c r="I24" s="487"/>
      <c r="J24" s="489"/>
      <c r="K24" s="894"/>
      <c r="L24" s="220"/>
      <c r="M24" s="221"/>
      <c r="N24" s="235">
        <f>SUM(Q175)</f>
        <v>108518.33458349109</v>
      </c>
      <c r="O24" s="798"/>
      <c r="P24" s="230"/>
      <c r="Q24" s="492"/>
      <c r="R24" s="487"/>
      <c r="S24" s="1"/>
    </row>
    <row r="25" spans="1:19" s="8" customFormat="1" ht="15" customHeight="1">
      <c r="A25" s="425"/>
      <c r="B25" s="425"/>
      <c r="C25" s="425"/>
      <c r="D25" s="760"/>
      <c r="E25" s="761"/>
      <c r="F25" s="425"/>
      <c r="G25" s="425"/>
      <c r="H25" s="429"/>
      <c r="I25" s="425"/>
      <c r="J25" s="427"/>
      <c r="K25" s="800"/>
      <c r="L25" s="763"/>
      <c r="M25" s="426"/>
      <c r="N25" s="764"/>
      <c r="O25" s="760"/>
      <c r="P25" s="759"/>
      <c r="Q25" s="430"/>
      <c r="R25" s="541" t="s">
        <v>3</v>
      </c>
    </row>
    <row r="26" spans="1:19" s="2" customFormat="1" ht="15" customHeight="1">
      <c r="A26" s="14"/>
      <c r="B26" s="14"/>
      <c r="C26" s="14"/>
      <c r="D26" s="761"/>
      <c r="E26" s="761"/>
      <c r="F26" s="14"/>
      <c r="G26" s="14"/>
      <c r="H26" s="437"/>
      <c r="I26" s="14"/>
      <c r="J26" s="427"/>
      <c r="K26" s="892"/>
      <c r="L26" s="768"/>
      <c r="M26" s="298"/>
      <c r="N26" s="773"/>
      <c r="O26" s="761"/>
      <c r="P26" s="629"/>
      <c r="Q26" s="438"/>
      <c r="R26" s="774"/>
    </row>
    <row r="27" spans="1:19" s="2" customFormat="1" ht="15" customHeight="1">
      <c r="A27" s="14"/>
      <c r="B27" s="14" t="s">
        <v>678</v>
      </c>
      <c r="C27" s="14"/>
      <c r="D27" s="761" t="s">
        <v>9</v>
      </c>
      <c r="E27" s="761"/>
      <c r="F27" s="14" t="s">
        <v>17</v>
      </c>
      <c r="G27" s="14" t="s">
        <v>41</v>
      </c>
      <c r="H27" s="437" t="s">
        <v>19</v>
      </c>
      <c r="I27" s="14"/>
      <c r="J27" s="439" t="s">
        <v>29</v>
      </c>
      <c r="K27" s="892" t="s">
        <v>681</v>
      </c>
      <c r="L27" s="768" t="s">
        <v>5</v>
      </c>
      <c r="M27" s="298" t="s">
        <v>16</v>
      </c>
      <c r="N27" s="773" t="s">
        <v>682</v>
      </c>
      <c r="O27" s="761" t="s">
        <v>678</v>
      </c>
      <c r="P27" s="629" t="s">
        <v>10</v>
      </c>
      <c r="Q27" s="440" t="s">
        <v>15</v>
      </c>
      <c r="R27" s="774" t="s">
        <v>4</v>
      </c>
    </row>
    <row r="28" spans="1:19" s="2" customFormat="1" ht="15" customHeight="1">
      <c r="A28" s="14"/>
      <c r="B28" s="14" t="s">
        <v>0</v>
      </c>
      <c r="C28" s="14" t="s">
        <v>8</v>
      </c>
      <c r="D28" s="761" t="s">
        <v>679</v>
      </c>
      <c r="E28" s="761" t="s">
        <v>181</v>
      </c>
      <c r="F28" s="14" t="s">
        <v>25</v>
      </c>
      <c r="G28" s="14"/>
      <c r="H28" s="437"/>
      <c r="I28" s="14"/>
      <c r="J28" s="439" t="s">
        <v>7</v>
      </c>
      <c r="K28" s="892" t="s">
        <v>18</v>
      </c>
      <c r="L28" s="768"/>
      <c r="M28" s="298" t="s">
        <v>42</v>
      </c>
      <c r="N28" s="773" t="s">
        <v>683</v>
      </c>
      <c r="O28" s="761" t="s">
        <v>680</v>
      </c>
      <c r="P28" s="629" t="s">
        <v>14</v>
      </c>
      <c r="Q28" s="440" t="s">
        <v>884</v>
      </c>
      <c r="R28" s="774"/>
    </row>
    <row r="29" spans="1:19" s="17" customFormat="1" ht="15" customHeight="1">
      <c r="A29" s="456"/>
      <c r="B29" s="456"/>
      <c r="C29" s="456"/>
      <c r="D29" s="786"/>
      <c r="E29" s="786"/>
      <c r="F29" s="787"/>
      <c r="G29" s="456"/>
      <c r="H29" s="788"/>
      <c r="I29" s="789"/>
      <c r="J29" s="505"/>
      <c r="K29" s="801"/>
      <c r="L29" s="790"/>
      <c r="M29" s="470"/>
      <c r="N29" s="791"/>
      <c r="O29" s="786"/>
      <c r="P29" s="629" t="s">
        <v>1294</v>
      </c>
      <c r="Q29" s="475"/>
      <c r="R29" s="792"/>
    </row>
    <row r="30" spans="1:19" s="17" customFormat="1" ht="15" customHeight="1">
      <c r="A30" s="456"/>
      <c r="B30" s="456"/>
      <c r="C30" s="456"/>
      <c r="D30" s="786"/>
      <c r="E30" s="786"/>
      <c r="F30" s="787"/>
      <c r="G30" s="456"/>
      <c r="H30" s="788"/>
      <c r="I30" s="789"/>
      <c r="J30" s="505"/>
      <c r="K30" s="801"/>
      <c r="L30" s="790"/>
      <c r="M30" s="470"/>
      <c r="N30" s="791"/>
      <c r="O30" s="786"/>
      <c r="P30" s="629" t="s">
        <v>1295</v>
      </c>
      <c r="Q30" s="475"/>
      <c r="R30" s="792"/>
    </row>
    <row r="31" spans="1:19" s="18" customFormat="1" ht="15" customHeight="1">
      <c r="A31" s="456" t="s">
        <v>899</v>
      </c>
      <c r="B31" s="456" t="s">
        <v>900</v>
      </c>
      <c r="C31" s="456" t="s">
        <v>901</v>
      </c>
      <c r="D31" s="786">
        <v>41334</v>
      </c>
      <c r="E31" s="786" t="s">
        <v>78</v>
      </c>
      <c r="F31" s="787">
        <v>41302</v>
      </c>
      <c r="G31" s="456">
        <v>1</v>
      </c>
      <c r="H31" s="788">
        <v>2169</v>
      </c>
      <c r="I31" s="789"/>
      <c r="J31" s="505">
        <v>41305</v>
      </c>
      <c r="K31" s="801">
        <v>2209</v>
      </c>
      <c r="L31" s="790">
        <v>1</v>
      </c>
      <c r="M31" s="470">
        <v>10</v>
      </c>
      <c r="N31" s="791">
        <f>SUM((H31-K31)/L31*M31)*G31</f>
        <v>-400</v>
      </c>
      <c r="O31" s="786" t="s">
        <v>884</v>
      </c>
      <c r="P31" s="677">
        <v>1</v>
      </c>
      <c r="Q31" s="475">
        <f t="shared" ref="Q31:Q37" si="0">SUM(N31*P31)</f>
        <v>-400</v>
      </c>
      <c r="R31" s="542"/>
    </row>
    <row r="32" spans="1:19" s="2" customFormat="1" ht="15" customHeight="1">
      <c r="A32" s="14" t="s">
        <v>80</v>
      </c>
      <c r="B32" s="14" t="s">
        <v>79</v>
      </c>
      <c r="C32" s="14" t="s">
        <v>910</v>
      </c>
      <c r="D32" s="761">
        <v>41334</v>
      </c>
      <c r="E32" s="761" t="s">
        <v>53</v>
      </c>
      <c r="F32" s="439">
        <v>41303</v>
      </c>
      <c r="G32" s="14">
        <v>1</v>
      </c>
      <c r="H32" s="437">
        <v>97.63</v>
      </c>
      <c r="I32" s="502"/>
      <c r="J32" s="543">
        <v>41309</v>
      </c>
      <c r="K32" s="800">
        <v>96.15</v>
      </c>
      <c r="L32" s="763">
        <v>0.01</v>
      </c>
      <c r="M32" s="426">
        <v>10</v>
      </c>
      <c r="N32" s="764">
        <f t="shared" ref="N32:N37" si="1">SUM((K32-H32)/L32*M32)*G32</f>
        <v>-1479.9999999999898</v>
      </c>
      <c r="O32" s="761" t="s">
        <v>884</v>
      </c>
      <c r="P32" s="677">
        <v>1</v>
      </c>
      <c r="Q32" s="430">
        <f t="shared" si="0"/>
        <v>-1479.9999999999898</v>
      </c>
      <c r="R32" s="774"/>
    </row>
    <row r="33" spans="1:18" s="2" customFormat="1" ht="15" customHeight="1">
      <c r="A33" s="14" t="s">
        <v>1590</v>
      </c>
      <c r="B33" s="14" t="s">
        <v>81</v>
      </c>
      <c r="C33" s="14" t="s">
        <v>916</v>
      </c>
      <c r="D33" s="761">
        <v>41306</v>
      </c>
      <c r="E33" s="761" t="s">
        <v>53</v>
      </c>
      <c r="F33" s="439">
        <v>41304</v>
      </c>
      <c r="G33" s="14">
        <v>1</v>
      </c>
      <c r="H33" s="437">
        <v>97.62</v>
      </c>
      <c r="I33" s="502"/>
      <c r="J33" s="543">
        <v>41309</v>
      </c>
      <c r="K33" s="800">
        <v>96.22</v>
      </c>
      <c r="L33" s="763">
        <v>0.01</v>
      </c>
      <c r="M33" s="426">
        <v>10</v>
      </c>
      <c r="N33" s="764">
        <f t="shared" si="1"/>
        <v>-1400.0000000000057</v>
      </c>
      <c r="O33" s="761" t="s">
        <v>884</v>
      </c>
      <c r="P33" s="677">
        <v>1</v>
      </c>
      <c r="Q33" s="430">
        <f t="shared" si="0"/>
        <v>-1400.0000000000057</v>
      </c>
      <c r="R33" s="774"/>
    </row>
    <row r="34" spans="1:18" s="2" customFormat="1" ht="15" customHeight="1">
      <c r="A34" s="14" t="s">
        <v>920</v>
      </c>
      <c r="B34" s="14" t="s">
        <v>921</v>
      </c>
      <c r="C34" s="14" t="s">
        <v>922</v>
      </c>
      <c r="D34" s="761">
        <v>41334</v>
      </c>
      <c r="E34" s="761" t="s">
        <v>53</v>
      </c>
      <c r="F34" s="439">
        <v>41306</v>
      </c>
      <c r="G34" s="14">
        <v>1</v>
      </c>
      <c r="H34" s="437">
        <v>53.42</v>
      </c>
      <c r="I34" s="502"/>
      <c r="J34" s="775">
        <v>41311</v>
      </c>
      <c r="K34" s="800">
        <v>52.56</v>
      </c>
      <c r="L34" s="763">
        <v>0.01</v>
      </c>
      <c r="M34" s="426">
        <v>6</v>
      </c>
      <c r="N34" s="764">
        <f t="shared" si="1"/>
        <v>-515.99999999999966</v>
      </c>
      <c r="O34" s="761" t="s">
        <v>884</v>
      </c>
      <c r="P34" s="677">
        <v>1</v>
      </c>
      <c r="Q34" s="430">
        <f t="shared" si="0"/>
        <v>-515.99999999999966</v>
      </c>
      <c r="R34" s="774"/>
    </row>
    <row r="35" spans="1:18" s="2" customFormat="1" ht="15" customHeight="1">
      <c r="A35" s="14" t="s">
        <v>915</v>
      </c>
      <c r="B35" s="14" t="s">
        <v>913</v>
      </c>
      <c r="C35" s="14" t="s">
        <v>914</v>
      </c>
      <c r="D35" s="761">
        <v>41334</v>
      </c>
      <c r="E35" s="761" t="s">
        <v>53</v>
      </c>
      <c r="F35" s="439">
        <v>41304</v>
      </c>
      <c r="G35" s="14">
        <v>1</v>
      </c>
      <c r="H35" s="437">
        <v>429.9</v>
      </c>
      <c r="I35" s="502"/>
      <c r="J35" s="543">
        <v>41313</v>
      </c>
      <c r="K35" s="800">
        <v>426.9</v>
      </c>
      <c r="L35" s="763">
        <v>0.1</v>
      </c>
      <c r="M35" s="426">
        <v>10</v>
      </c>
      <c r="N35" s="764">
        <f t="shared" si="1"/>
        <v>-300</v>
      </c>
      <c r="O35" s="761" t="s">
        <v>884</v>
      </c>
      <c r="P35" s="677">
        <v>1</v>
      </c>
      <c r="Q35" s="430">
        <f t="shared" si="0"/>
        <v>-300</v>
      </c>
      <c r="R35" s="774"/>
    </row>
    <row r="36" spans="1:18" s="2" customFormat="1" ht="15" customHeight="1">
      <c r="A36" s="14" t="s">
        <v>50</v>
      </c>
      <c r="B36" s="14" t="s">
        <v>49</v>
      </c>
      <c r="C36" s="14" t="s">
        <v>911</v>
      </c>
      <c r="D36" s="761">
        <v>41306</v>
      </c>
      <c r="E36" s="761" t="s">
        <v>53</v>
      </c>
      <c r="F36" s="439">
        <v>41304</v>
      </c>
      <c r="G36" s="14">
        <v>1</v>
      </c>
      <c r="H36" s="437">
        <v>992</v>
      </c>
      <c r="I36" s="502"/>
      <c r="J36" s="543">
        <v>41317</v>
      </c>
      <c r="K36" s="800">
        <v>1017.5</v>
      </c>
      <c r="L36" s="763">
        <v>0.25</v>
      </c>
      <c r="M36" s="426">
        <v>25</v>
      </c>
      <c r="N36" s="764">
        <f t="shared" si="1"/>
        <v>2550</v>
      </c>
      <c r="O36" s="761" t="s">
        <v>884</v>
      </c>
      <c r="P36" s="677">
        <v>1</v>
      </c>
      <c r="Q36" s="430">
        <f t="shared" si="0"/>
        <v>2550</v>
      </c>
      <c r="R36" s="774"/>
    </row>
    <row r="37" spans="1:18" s="2" customFormat="1" ht="15" customHeight="1">
      <c r="A37" s="14" t="s">
        <v>1</v>
      </c>
      <c r="B37" s="14" t="s">
        <v>2</v>
      </c>
      <c r="C37" s="14" t="s">
        <v>912</v>
      </c>
      <c r="D37" s="761">
        <v>41334</v>
      </c>
      <c r="E37" s="761" t="s">
        <v>53</v>
      </c>
      <c r="F37" s="439">
        <v>41304</v>
      </c>
      <c r="G37" s="14">
        <v>1</v>
      </c>
      <c r="H37" s="437">
        <v>114</v>
      </c>
      <c r="I37" s="502"/>
      <c r="J37" s="543">
        <v>41317</v>
      </c>
      <c r="K37" s="800">
        <v>118.71</v>
      </c>
      <c r="L37" s="763">
        <v>0.01</v>
      </c>
      <c r="M37" s="426">
        <v>10</v>
      </c>
      <c r="N37" s="764">
        <f t="shared" si="1"/>
        <v>4709.9999999999936</v>
      </c>
      <c r="O37" s="761" t="s">
        <v>884</v>
      </c>
      <c r="P37" s="677">
        <v>1</v>
      </c>
      <c r="Q37" s="430">
        <f t="shared" si="0"/>
        <v>4709.9999999999936</v>
      </c>
      <c r="R37" s="774"/>
    </row>
    <row r="38" spans="1:18" s="2" customFormat="1" ht="15" customHeight="1">
      <c r="A38" s="14" t="s">
        <v>917</v>
      </c>
      <c r="B38" s="14" t="s">
        <v>918</v>
      </c>
      <c r="C38" s="14" t="s">
        <v>919</v>
      </c>
      <c r="D38" s="761">
        <v>41334</v>
      </c>
      <c r="E38" s="761" t="s">
        <v>53</v>
      </c>
      <c r="F38" s="439">
        <v>41306</v>
      </c>
      <c r="G38" s="14">
        <v>1</v>
      </c>
      <c r="H38" s="437">
        <v>2020</v>
      </c>
      <c r="I38" s="502"/>
      <c r="J38" s="543">
        <v>41319</v>
      </c>
      <c r="K38" s="800">
        <v>2036</v>
      </c>
      <c r="L38" s="763">
        <v>1</v>
      </c>
      <c r="M38" s="426">
        <v>10</v>
      </c>
      <c r="N38" s="764">
        <f>SUM((K38-H38)/L38*M38)*G38</f>
        <v>160</v>
      </c>
      <c r="O38" s="761" t="s">
        <v>884</v>
      </c>
      <c r="P38" s="677">
        <v>1</v>
      </c>
      <c r="Q38" s="430">
        <f t="shared" ref="Q38:Q44" si="2">SUM(N38*P38)</f>
        <v>160</v>
      </c>
      <c r="R38" s="774"/>
    </row>
    <row r="39" spans="1:18" s="2" customFormat="1" ht="15" customHeight="1">
      <c r="A39" s="14" t="s">
        <v>84</v>
      </c>
      <c r="B39" s="14" t="s">
        <v>83</v>
      </c>
      <c r="C39" s="14" t="s">
        <v>923</v>
      </c>
      <c r="D39" s="761">
        <v>41334</v>
      </c>
      <c r="E39" s="761" t="s">
        <v>53</v>
      </c>
      <c r="F39" s="439">
        <v>41306</v>
      </c>
      <c r="G39" s="14">
        <v>1</v>
      </c>
      <c r="H39" s="437">
        <v>313.3</v>
      </c>
      <c r="I39" s="502"/>
      <c r="J39" s="543">
        <v>41320</v>
      </c>
      <c r="K39" s="800">
        <v>318.3</v>
      </c>
      <c r="L39" s="763">
        <v>0.01</v>
      </c>
      <c r="M39" s="426">
        <v>4.2</v>
      </c>
      <c r="N39" s="764">
        <f>SUM((K39-H39)/L39*M39)*G39</f>
        <v>2100</v>
      </c>
      <c r="O39" s="761" t="s">
        <v>884</v>
      </c>
      <c r="P39" s="677">
        <v>1</v>
      </c>
      <c r="Q39" s="430">
        <f t="shared" si="2"/>
        <v>2100</v>
      </c>
      <c r="R39" s="774"/>
    </row>
    <row r="40" spans="1:18" s="17" customFormat="1" ht="15" customHeight="1">
      <c r="A40" s="456" t="s">
        <v>985</v>
      </c>
      <c r="B40" s="456" t="s">
        <v>738</v>
      </c>
      <c r="C40" s="456" t="s">
        <v>986</v>
      </c>
      <c r="D40" s="786">
        <v>41334</v>
      </c>
      <c r="E40" s="786" t="s">
        <v>78</v>
      </c>
      <c r="F40" s="787">
        <v>41319</v>
      </c>
      <c r="G40" s="456">
        <v>1</v>
      </c>
      <c r="H40" s="788">
        <v>317.2</v>
      </c>
      <c r="I40" s="789"/>
      <c r="J40" s="543">
        <v>41324</v>
      </c>
      <c r="K40" s="895">
        <v>329.3</v>
      </c>
      <c r="L40" s="790">
        <v>0.1</v>
      </c>
      <c r="M40" s="470">
        <v>10</v>
      </c>
      <c r="N40" s="791">
        <f>SUM((H40-K40)/L40*M40)*G40</f>
        <v>-1210.0000000000023</v>
      </c>
      <c r="O40" s="786" t="s">
        <v>884</v>
      </c>
      <c r="P40" s="677">
        <v>1</v>
      </c>
      <c r="Q40" s="475">
        <f t="shared" si="2"/>
        <v>-1210.0000000000023</v>
      </c>
      <c r="R40" s="792"/>
    </row>
    <row r="41" spans="1:18" s="2" customFormat="1" ht="15" customHeight="1">
      <c r="A41" s="14" t="s">
        <v>50</v>
      </c>
      <c r="B41" s="14" t="s">
        <v>49</v>
      </c>
      <c r="C41" s="14" t="s">
        <v>971</v>
      </c>
      <c r="D41" s="761">
        <v>41365</v>
      </c>
      <c r="E41" s="761" t="s">
        <v>53</v>
      </c>
      <c r="F41" s="439">
        <v>41376</v>
      </c>
      <c r="G41" s="14">
        <v>1</v>
      </c>
      <c r="H41" s="437">
        <v>999.5</v>
      </c>
      <c r="I41" s="502"/>
      <c r="J41" s="543">
        <v>41325</v>
      </c>
      <c r="K41" s="800">
        <v>995.7</v>
      </c>
      <c r="L41" s="763">
        <v>0.25</v>
      </c>
      <c r="M41" s="426">
        <v>25</v>
      </c>
      <c r="N41" s="764">
        <f t="shared" ref="N41:N47" si="3">SUM((K41-H41)/L41*M41)*G41</f>
        <v>-379.99999999999545</v>
      </c>
      <c r="O41" s="761" t="s">
        <v>884</v>
      </c>
      <c r="P41" s="677">
        <v>1</v>
      </c>
      <c r="Q41" s="430">
        <f t="shared" si="2"/>
        <v>-379.99999999999545</v>
      </c>
      <c r="R41" s="774"/>
    </row>
    <row r="42" spans="1:18" s="2" customFormat="1" ht="15" customHeight="1">
      <c r="A42" s="14" t="s">
        <v>1</v>
      </c>
      <c r="B42" s="14" t="s">
        <v>2</v>
      </c>
      <c r="C42" s="14" t="s">
        <v>972</v>
      </c>
      <c r="D42" s="761">
        <v>41365</v>
      </c>
      <c r="E42" s="761" t="s">
        <v>53</v>
      </c>
      <c r="F42" s="439">
        <v>41317</v>
      </c>
      <c r="G42" s="14">
        <v>1</v>
      </c>
      <c r="H42" s="437">
        <v>116.76</v>
      </c>
      <c r="I42" s="502"/>
      <c r="J42" s="543">
        <v>41325</v>
      </c>
      <c r="K42" s="800">
        <v>115.3</v>
      </c>
      <c r="L42" s="763">
        <v>0.01</v>
      </c>
      <c r="M42" s="426">
        <v>10</v>
      </c>
      <c r="N42" s="764">
        <f t="shared" si="3"/>
        <v>-1460.000000000008</v>
      </c>
      <c r="O42" s="761" t="s">
        <v>884</v>
      </c>
      <c r="P42" s="677">
        <v>1</v>
      </c>
      <c r="Q42" s="430">
        <f t="shared" si="2"/>
        <v>-1460.000000000008</v>
      </c>
      <c r="R42" s="774"/>
    </row>
    <row r="43" spans="1:18" s="2" customFormat="1" ht="15" customHeight="1">
      <c r="A43" s="14" t="s">
        <v>979</v>
      </c>
      <c r="B43" s="14" t="s">
        <v>980</v>
      </c>
      <c r="C43" s="14" t="s">
        <v>983</v>
      </c>
      <c r="D43" s="761">
        <v>41334</v>
      </c>
      <c r="E43" s="761" t="s">
        <v>53</v>
      </c>
      <c r="F43" s="439">
        <v>41317</v>
      </c>
      <c r="G43" s="14">
        <v>1</v>
      </c>
      <c r="H43" s="437">
        <v>125.8</v>
      </c>
      <c r="I43" s="502"/>
      <c r="J43" s="543">
        <v>41325</v>
      </c>
      <c r="K43" s="800">
        <v>123.4</v>
      </c>
      <c r="L43" s="763">
        <v>0.05</v>
      </c>
      <c r="M43" s="426">
        <v>7.5</v>
      </c>
      <c r="N43" s="764">
        <f t="shared" si="3"/>
        <v>-359.99999999999875</v>
      </c>
      <c r="O43" s="761" t="s">
        <v>884</v>
      </c>
      <c r="P43" s="677">
        <v>1</v>
      </c>
      <c r="Q43" s="430">
        <f t="shared" si="2"/>
        <v>-359.99999999999875</v>
      </c>
      <c r="R43" s="774"/>
    </row>
    <row r="44" spans="1:18" s="8" customFormat="1" ht="15" customHeight="1">
      <c r="A44" s="14" t="s">
        <v>897</v>
      </c>
      <c r="B44" s="14" t="s">
        <v>898</v>
      </c>
      <c r="C44" s="14" t="s">
        <v>984</v>
      </c>
      <c r="D44" s="761">
        <v>41334</v>
      </c>
      <c r="E44" s="761" t="s">
        <v>53</v>
      </c>
      <c r="F44" s="439">
        <v>41302</v>
      </c>
      <c r="G44" s="14">
        <v>1</v>
      </c>
      <c r="H44" s="437">
        <v>289.60000000000002</v>
      </c>
      <c r="I44" s="502"/>
      <c r="J44" s="543">
        <v>41325</v>
      </c>
      <c r="K44" s="800">
        <v>305.10000000000002</v>
      </c>
      <c r="L44" s="763">
        <v>0.01</v>
      </c>
      <c r="M44" s="426">
        <v>4.2</v>
      </c>
      <c r="N44" s="764">
        <f t="shared" si="3"/>
        <v>6510</v>
      </c>
      <c r="O44" s="761" t="s">
        <v>884</v>
      </c>
      <c r="P44" s="677">
        <v>1</v>
      </c>
      <c r="Q44" s="430">
        <f t="shared" si="2"/>
        <v>6510</v>
      </c>
      <c r="R44" s="541"/>
    </row>
    <row r="45" spans="1:18" s="2" customFormat="1" ht="15" customHeight="1">
      <c r="A45" s="14" t="s">
        <v>1020</v>
      </c>
      <c r="B45" s="14" t="s">
        <v>1021</v>
      </c>
      <c r="C45" s="14" t="s">
        <v>1027</v>
      </c>
      <c r="D45" s="761">
        <v>41395</v>
      </c>
      <c r="E45" s="761" t="s">
        <v>53</v>
      </c>
      <c r="F45" s="439">
        <v>41324</v>
      </c>
      <c r="G45" s="14">
        <v>1</v>
      </c>
      <c r="H45" s="437">
        <v>2168</v>
      </c>
      <c r="I45" s="502"/>
      <c r="J45" s="543">
        <v>41325</v>
      </c>
      <c r="K45" s="800"/>
      <c r="L45" s="763">
        <v>1</v>
      </c>
      <c r="M45" s="426">
        <v>10</v>
      </c>
      <c r="N45" s="764">
        <f t="shared" si="3"/>
        <v>-21680</v>
      </c>
      <c r="O45" s="761" t="s">
        <v>884</v>
      </c>
      <c r="P45" s="677">
        <v>1</v>
      </c>
      <c r="Q45" s="430">
        <f t="shared" ref="Q45:Q51" si="4">SUM(N45*P45)</f>
        <v>-21680</v>
      </c>
      <c r="R45" s="774"/>
    </row>
    <row r="46" spans="1:18" s="2" customFormat="1" ht="15" customHeight="1">
      <c r="A46" s="14" t="s">
        <v>1023</v>
      </c>
      <c r="B46" s="14" t="s">
        <v>1022</v>
      </c>
      <c r="C46" s="14" t="s">
        <v>1028</v>
      </c>
      <c r="D46" s="761">
        <v>41334</v>
      </c>
      <c r="E46" s="761" t="s">
        <v>53</v>
      </c>
      <c r="F46" s="439">
        <v>41324</v>
      </c>
      <c r="G46" s="14">
        <v>1</v>
      </c>
      <c r="H46" s="437">
        <v>2785</v>
      </c>
      <c r="I46" s="502"/>
      <c r="J46" s="543">
        <v>41325</v>
      </c>
      <c r="K46" s="800">
        <v>2753</v>
      </c>
      <c r="L46" s="763">
        <v>0.25</v>
      </c>
      <c r="M46" s="426">
        <v>5</v>
      </c>
      <c r="N46" s="764">
        <f t="shared" si="3"/>
        <v>-640</v>
      </c>
      <c r="O46" s="761" t="s">
        <v>884</v>
      </c>
      <c r="P46" s="677">
        <v>1</v>
      </c>
      <c r="Q46" s="430">
        <f t="shared" si="4"/>
        <v>-640</v>
      </c>
      <c r="R46" s="774"/>
    </row>
    <row r="47" spans="1:18" s="2" customFormat="1" ht="15" customHeight="1">
      <c r="A47" s="14" t="s">
        <v>1024</v>
      </c>
      <c r="B47" s="14" t="s">
        <v>1025</v>
      </c>
      <c r="C47" s="14" t="s">
        <v>1026</v>
      </c>
      <c r="D47" s="761">
        <v>41334</v>
      </c>
      <c r="E47" s="761" t="s">
        <v>53</v>
      </c>
      <c r="F47" s="439">
        <v>41324</v>
      </c>
      <c r="G47" s="14">
        <v>1</v>
      </c>
      <c r="H47" s="437">
        <v>14022</v>
      </c>
      <c r="I47" s="502"/>
      <c r="J47" s="543">
        <v>41325</v>
      </c>
      <c r="K47" s="800">
        <v>13902</v>
      </c>
      <c r="L47" s="763">
        <v>1</v>
      </c>
      <c r="M47" s="426">
        <v>5</v>
      </c>
      <c r="N47" s="764">
        <f t="shared" si="3"/>
        <v>-600</v>
      </c>
      <c r="O47" s="761" t="s">
        <v>884</v>
      </c>
      <c r="P47" s="677">
        <v>1</v>
      </c>
      <c r="Q47" s="430">
        <f t="shared" si="4"/>
        <v>-600</v>
      </c>
      <c r="R47" s="774"/>
    </row>
    <row r="48" spans="1:18" s="17" customFormat="1" ht="15" customHeight="1">
      <c r="A48" s="456" t="s">
        <v>894</v>
      </c>
      <c r="B48" s="456" t="s">
        <v>361</v>
      </c>
      <c r="C48" s="456" t="s">
        <v>957</v>
      </c>
      <c r="D48" s="786">
        <v>41334</v>
      </c>
      <c r="E48" s="786" t="s">
        <v>78</v>
      </c>
      <c r="F48" s="787">
        <v>41312</v>
      </c>
      <c r="G48" s="456">
        <v>1</v>
      </c>
      <c r="H48" s="788">
        <v>140</v>
      </c>
      <c r="I48" s="789"/>
      <c r="J48" s="543">
        <v>41327</v>
      </c>
      <c r="K48" s="801">
        <v>142.9</v>
      </c>
      <c r="L48" s="790">
        <v>0.05</v>
      </c>
      <c r="M48" s="470">
        <v>18.75</v>
      </c>
      <c r="N48" s="791">
        <f>SUM((H48-K48)/L48*M48)*G48</f>
        <v>-1087.500000000002</v>
      </c>
      <c r="O48" s="786" t="s">
        <v>884</v>
      </c>
      <c r="P48" s="677">
        <v>1</v>
      </c>
      <c r="Q48" s="475">
        <f t="shared" si="4"/>
        <v>-1087.500000000002</v>
      </c>
      <c r="R48" s="792"/>
    </row>
    <row r="49" spans="1:19" s="2" customFormat="1" ht="15" customHeight="1">
      <c r="A49" s="14" t="s">
        <v>69</v>
      </c>
      <c r="B49" s="14" t="s">
        <v>68</v>
      </c>
      <c r="C49" s="14" t="s">
        <v>1061</v>
      </c>
      <c r="D49" s="761">
        <v>41334</v>
      </c>
      <c r="E49" s="761" t="s">
        <v>53</v>
      </c>
      <c r="F49" s="439">
        <v>41330</v>
      </c>
      <c r="G49" s="14">
        <v>1</v>
      </c>
      <c r="H49" s="437">
        <v>394.3</v>
      </c>
      <c r="I49" s="502"/>
      <c r="J49" s="543">
        <v>41330</v>
      </c>
      <c r="K49" s="800">
        <v>385.3</v>
      </c>
      <c r="L49" s="763">
        <v>0.25</v>
      </c>
      <c r="M49" s="426">
        <v>12.5</v>
      </c>
      <c r="N49" s="764">
        <f>SUM((K49-H49)/L49*M49)*G49</f>
        <v>-450</v>
      </c>
      <c r="O49" s="761" t="s">
        <v>884</v>
      </c>
      <c r="P49" s="677">
        <v>1</v>
      </c>
      <c r="Q49" s="430">
        <f t="shared" si="4"/>
        <v>-450</v>
      </c>
      <c r="R49" s="774"/>
    </row>
    <row r="50" spans="1:19" s="17" customFormat="1" ht="15" customHeight="1">
      <c r="A50" s="456" t="s">
        <v>987</v>
      </c>
      <c r="B50" s="456" t="s">
        <v>988</v>
      </c>
      <c r="C50" s="456" t="s">
        <v>989</v>
      </c>
      <c r="D50" s="786">
        <v>41334</v>
      </c>
      <c r="E50" s="786" t="s">
        <v>78</v>
      </c>
      <c r="F50" s="787">
        <v>41319</v>
      </c>
      <c r="G50" s="456">
        <v>1</v>
      </c>
      <c r="H50" s="788">
        <v>17.87</v>
      </c>
      <c r="I50" s="789"/>
      <c r="J50" s="543">
        <v>41330</v>
      </c>
      <c r="K50" s="801">
        <v>18.25</v>
      </c>
      <c r="L50" s="790">
        <v>0.01</v>
      </c>
      <c r="M50" s="470">
        <v>11.2</v>
      </c>
      <c r="N50" s="791">
        <f>SUM((H50-K50)/L50*M50)*G50</f>
        <v>-425.59999999999889</v>
      </c>
      <c r="O50" s="786" t="s">
        <v>884</v>
      </c>
      <c r="P50" s="677">
        <v>1</v>
      </c>
      <c r="Q50" s="475">
        <f t="shared" si="4"/>
        <v>-425.59999999999889</v>
      </c>
      <c r="R50" s="792"/>
    </row>
    <row r="51" spans="1:19" s="18" customFormat="1" ht="15" customHeight="1">
      <c r="A51" s="456" t="s">
        <v>899</v>
      </c>
      <c r="B51" s="456" t="s">
        <v>900</v>
      </c>
      <c r="C51" s="456" t="s">
        <v>1027</v>
      </c>
      <c r="D51" s="786">
        <v>41395</v>
      </c>
      <c r="E51" s="786" t="s">
        <v>78</v>
      </c>
      <c r="F51" s="787">
        <v>41324</v>
      </c>
      <c r="G51" s="456">
        <v>1</v>
      </c>
      <c r="H51" s="788">
        <v>2168</v>
      </c>
      <c r="I51" s="789"/>
      <c r="J51" s="505">
        <v>41341</v>
      </c>
      <c r="K51" s="801">
        <v>2095</v>
      </c>
      <c r="L51" s="790">
        <v>1</v>
      </c>
      <c r="M51" s="470">
        <v>10</v>
      </c>
      <c r="N51" s="791">
        <f>SUM((H51-K51)/L51*M51)*G51</f>
        <v>730</v>
      </c>
      <c r="O51" s="786" t="s">
        <v>884</v>
      </c>
      <c r="P51" s="677">
        <v>1</v>
      </c>
      <c r="Q51" s="430">
        <f t="shared" si="4"/>
        <v>730</v>
      </c>
      <c r="R51" s="542"/>
    </row>
    <row r="52" spans="1:19" s="17" customFormat="1" ht="15" customHeight="1">
      <c r="A52" s="456" t="s">
        <v>1063</v>
      </c>
      <c r="B52" s="456" t="s">
        <v>70</v>
      </c>
      <c r="C52" s="456" t="s">
        <v>1062</v>
      </c>
      <c r="D52" s="786">
        <v>41365</v>
      </c>
      <c r="E52" s="786" t="s">
        <v>78</v>
      </c>
      <c r="F52" s="787">
        <v>41334</v>
      </c>
      <c r="G52" s="456">
        <v>1</v>
      </c>
      <c r="H52" s="788">
        <v>350.7</v>
      </c>
      <c r="I52" s="789"/>
      <c r="J52" s="543">
        <v>41345</v>
      </c>
      <c r="K52" s="801">
        <v>354.7</v>
      </c>
      <c r="L52" s="790">
        <v>0.05</v>
      </c>
      <c r="M52" s="470">
        <v>12.5</v>
      </c>
      <c r="N52" s="791">
        <f>SUM((H52-K52)/L52*M52)*G52</f>
        <v>-1000</v>
      </c>
      <c r="O52" s="786" t="s">
        <v>884</v>
      </c>
      <c r="P52" s="677">
        <v>1</v>
      </c>
      <c r="Q52" s="475">
        <f>SUM(N52*P52)</f>
        <v>-1000</v>
      </c>
      <c r="R52" s="792"/>
    </row>
    <row r="53" spans="1:19" s="17" customFormat="1" ht="15" customHeight="1">
      <c r="A53" s="456" t="s">
        <v>46</v>
      </c>
      <c r="B53" s="456" t="s">
        <v>981</v>
      </c>
      <c r="C53" s="456" t="s">
        <v>982</v>
      </c>
      <c r="D53" s="786">
        <v>41334</v>
      </c>
      <c r="E53" s="786" t="s">
        <v>78</v>
      </c>
      <c r="F53" s="787">
        <v>41317</v>
      </c>
      <c r="G53" s="456">
        <v>1</v>
      </c>
      <c r="H53" s="788">
        <v>731.35</v>
      </c>
      <c r="I53" s="789"/>
      <c r="J53" s="543">
        <v>41347</v>
      </c>
      <c r="K53" s="801">
        <v>709.75</v>
      </c>
      <c r="L53" s="790">
        <v>0.25</v>
      </c>
      <c r="M53" s="470">
        <v>12.5</v>
      </c>
      <c r="N53" s="791">
        <f>SUM((H53-K53)/L53*M53)*G53</f>
        <v>1080.0000000000011</v>
      </c>
      <c r="O53" s="761" t="s">
        <v>884</v>
      </c>
      <c r="P53" s="677">
        <v>1</v>
      </c>
      <c r="Q53" s="430">
        <f>SUM(N53*P53)</f>
        <v>1080.0000000000011</v>
      </c>
      <c r="R53" s="792"/>
    </row>
    <row r="54" spans="1:19" s="2" customFormat="1" ht="15" customHeight="1">
      <c r="A54" s="14" t="s">
        <v>46</v>
      </c>
      <c r="B54" s="14" t="s">
        <v>981</v>
      </c>
      <c r="C54" s="14" t="s">
        <v>1118</v>
      </c>
      <c r="D54" s="761">
        <v>41395</v>
      </c>
      <c r="E54" s="761" t="s">
        <v>53</v>
      </c>
      <c r="F54" s="439">
        <v>41353</v>
      </c>
      <c r="G54" s="14">
        <v>1</v>
      </c>
      <c r="H54" s="437">
        <v>736</v>
      </c>
      <c r="I54" s="502"/>
      <c r="J54" s="543">
        <v>41355</v>
      </c>
      <c r="K54" s="800">
        <v>718.8</v>
      </c>
      <c r="L54" s="763">
        <v>0.25</v>
      </c>
      <c r="M54" s="426">
        <v>12.5</v>
      </c>
      <c r="N54" s="764">
        <f>SUM((K54-H54)/L54*M54)*G54</f>
        <v>-860.00000000000227</v>
      </c>
      <c r="O54" s="761" t="s">
        <v>884</v>
      </c>
      <c r="P54" s="677">
        <v>1</v>
      </c>
      <c r="Q54" s="430">
        <f>SUM(N54*P54)</f>
        <v>-860.00000000000227</v>
      </c>
      <c r="R54" s="774"/>
    </row>
    <row r="55" spans="1:19" s="2" customFormat="1" ht="15" customHeight="1">
      <c r="A55" s="14" t="s">
        <v>1</v>
      </c>
      <c r="B55" s="14" t="s">
        <v>2</v>
      </c>
      <c r="C55" s="14" t="s">
        <v>972</v>
      </c>
      <c r="D55" s="761">
        <v>41365</v>
      </c>
      <c r="E55" s="761" t="s">
        <v>53</v>
      </c>
      <c r="F55" s="439">
        <v>41358</v>
      </c>
      <c r="G55" s="14">
        <v>1</v>
      </c>
      <c r="H55" s="437">
        <v>108.55</v>
      </c>
      <c r="I55" s="502"/>
      <c r="J55" s="543">
        <v>41358</v>
      </c>
      <c r="K55" s="800">
        <v>106.85</v>
      </c>
      <c r="L55" s="763">
        <v>0.01</v>
      </c>
      <c r="M55" s="426">
        <v>10</v>
      </c>
      <c r="N55" s="764">
        <f>SUM((K55-H55)/L55*M55)*G55</f>
        <v>-1700.0000000000027</v>
      </c>
      <c r="O55" s="761" t="s">
        <v>884</v>
      </c>
      <c r="P55" s="677">
        <v>1</v>
      </c>
      <c r="Q55" s="430">
        <f>SUM(N55*P55)</f>
        <v>-1700.0000000000027</v>
      </c>
      <c r="R55" s="774"/>
    </row>
    <row r="56" spans="1:19" s="17" customFormat="1" ht="15" customHeight="1">
      <c r="A56" s="456" t="s">
        <v>50</v>
      </c>
      <c r="B56" s="456" t="s">
        <v>49</v>
      </c>
      <c r="C56" s="456" t="s">
        <v>1098</v>
      </c>
      <c r="D56" s="786">
        <v>41365</v>
      </c>
      <c r="E56" s="786" t="s">
        <v>78</v>
      </c>
      <c r="F56" s="787">
        <v>41347</v>
      </c>
      <c r="G56" s="456">
        <v>1</v>
      </c>
      <c r="H56" s="788">
        <v>910.5</v>
      </c>
      <c r="I56" s="789"/>
      <c r="J56" s="543">
        <v>41360</v>
      </c>
      <c r="K56" s="801">
        <v>906.5</v>
      </c>
      <c r="L56" s="790">
        <v>0.25</v>
      </c>
      <c r="M56" s="470">
        <v>25</v>
      </c>
      <c r="N56" s="791">
        <f>SUM((H56-K56)/L56*M56)*G56</f>
        <v>400</v>
      </c>
      <c r="O56" s="760" t="s">
        <v>1278</v>
      </c>
      <c r="P56" s="677">
        <v>1</v>
      </c>
      <c r="Q56" s="430">
        <f>SUM(N56/P56)</f>
        <v>400</v>
      </c>
      <c r="R56" s="792"/>
    </row>
    <row r="57" spans="1:19" s="2" customFormat="1" ht="15" customHeight="1">
      <c r="A57" s="14" t="s">
        <v>985</v>
      </c>
      <c r="B57" s="14" t="s">
        <v>738</v>
      </c>
      <c r="C57" s="14" t="s">
        <v>1123</v>
      </c>
      <c r="D57" s="761">
        <v>41395</v>
      </c>
      <c r="E57" s="761" t="s">
        <v>53</v>
      </c>
      <c r="F57" s="439">
        <v>41360</v>
      </c>
      <c r="G57" s="14">
        <v>1</v>
      </c>
      <c r="H57" s="437">
        <v>4.0599999999999996</v>
      </c>
      <c r="I57" s="502"/>
      <c r="J57" s="543">
        <v>41365</v>
      </c>
      <c r="K57" s="800">
        <v>3.956</v>
      </c>
      <c r="L57" s="763">
        <v>1E-3</v>
      </c>
      <c r="M57" s="426">
        <v>10</v>
      </c>
      <c r="N57" s="764">
        <f>SUM((K57-H57)/L57*M57)*G57</f>
        <v>-1039.9999999999964</v>
      </c>
      <c r="O57" s="760" t="s">
        <v>1278</v>
      </c>
      <c r="P57" s="677">
        <v>1</v>
      </c>
      <c r="Q57" s="475">
        <f t="shared" ref="Q57:Q79" si="5">SUM(N57/P57)</f>
        <v>-1039.9999999999964</v>
      </c>
      <c r="R57" s="774"/>
    </row>
    <row r="58" spans="1:19" s="2" customFormat="1" ht="15" customHeight="1">
      <c r="A58" s="14" t="s">
        <v>48</v>
      </c>
      <c r="B58" s="14" t="s">
        <v>47</v>
      </c>
      <c r="C58" s="14" t="s">
        <v>1122</v>
      </c>
      <c r="D58" s="761">
        <v>41365</v>
      </c>
      <c r="E58" s="761" t="s">
        <v>53</v>
      </c>
      <c r="F58" s="439">
        <v>41361</v>
      </c>
      <c r="G58" s="14">
        <v>1</v>
      </c>
      <c r="H58" s="437">
        <v>143.17500000000001</v>
      </c>
      <c r="I58" s="502"/>
      <c r="J58" s="543">
        <v>41374</v>
      </c>
      <c r="K58" s="800">
        <v>143.69999999999999</v>
      </c>
      <c r="L58" s="763">
        <v>2.5000000000000001E-2</v>
      </c>
      <c r="M58" s="426">
        <v>12.5</v>
      </c>
      <c r="N58" s="764">
        <f>SUM((K58-H58)/L58*M58)*G58</f>
        <v>262.49999999998863</v>
      </c>
      <c r="O58" s="760" t="s">
        <v>1278</v>
      </c>
      <c r="P58" s="677">
        <v>1</v>
      </c>
      <c r="Q58" s="430">
        <f t="shared" si="5"/>
        <v>262.49999999998863</v>
      </c>
      <c r="R58" s="774"/>
    </row>
    <row r="59" spans="1:19" s="17" customFormat="1" ht="15" customHeight="1">
      <c r="A59" s="456" t="s">
        <v>386</v>
      </c>
      <c r="B59" s="456" t="s">
        <v>1066</v>
      </c>
      <c r="C59" s="456" t="s">
        <v>1166</v>
      </c>
      <c r="D59" s="786">
        <v>41456</v>
      </c>
      <c r="E59" s="786" t="s">
        <v>78</v>
      </c>
      <c r="F59" s="787">
        <v>41388</v>
      </c>
      <c r="G59" s="456">
        <v>1</v>
      </c>
      <c r="H59" s="788">
        <v>84.18</v>
      </c>
      <c r="I59" s="789"/>
      <c r="J59" s="543">
        <v>41393</v>
      </c>
      <c r="K59" s="801">
        <v>84.93</v>
      </c>
      <c r="L59" s="790">
        <v>0.01</v>
      </c>
      <c r="M59" s="470">
        <v>5</v>
      </c>
      <c r="N59" s="791">
        <f>SUM((H59-K59)/L59*M59)*G59</f>
        <v>-375</v>
      </c>
      <c r="O59" s="760" t="s">
        <v>1278</v>
      </c>
      <c r="P59" s="677">
        <v>1</v>
      </c>
      <c r="Q59" s="475">
        <f t="shared" si="5"/>
        <v>-375</v>
      </c>
      <c r="R59" s="792"/>
    </row>
    <row r="60" spans="1:19" s="17" customFormat="1" ht="15" customHeight="1">
      <c r="A60" s="456" t="s">
        <v>985</v>
      </c>
      <c r="B60" s="456" t="s">
        <v>738</v>
      </c>
      <c r="C60" s="456" t="s">
        <v>1181</v>
      </c>
      <c r="D60" s="786">
        <v>41395</v>
      </c>
      <c r="E60" s="786" t="s">
        <v>78</v>
      </c>
      <c r="F60" s="787">
        <v>41390</v>
      </c>
      <c r="G60" s="456">
        <v>1</v>
      </c>
      <c r="H60" s="788">
        <v>4.1429999999999998</v>
      </c>
      <c r="I60" s="789"/>
      <c r="J60" s="543">
        <v>41393</v>
      </c>
      <c r="K60" s="801">
        <v>4.2679999999999998</v>
      </c>
      <c r="L60" s="790">
        <v>1E-3</v>
      </c>
      <c r="M60" s="470">
        <v>10</v>
      </c>
      <c r="N60" s="791">
        <f>SUM((H60-K60)/L60*M60)*G60</f>
        <v>-1250</v>
      </c>
      <c r="O60" s="760" t="s">
        <v>1278</v>
      </c>
      <c r="P60" s="677">
        <v>1</v>
      </c>
      <c r="Q60" s="475">
        <f t="shared" si="5"/>
        <v>-1250</v>
      </c>
      <c r="R60" s="792"/>
    </row>
    <row r="61" spans="1:19" s="2" customFormat="1" ht="15" customHeight="1">
      <c r="A61" s="14" t="s">
        <v>1</v>
      </c>
      <c r="B61" s="14" t="s">
        <v>2</v>
      </c>
      <c r="C61" s="14" t="s">
        <v>1164</v>
      </c>
      <c r="D61" s="761">
        <v>41426</v>
      </c>
      <c r="E61" s="761" t="s">
        <v>53</v>
      </c>
      <c r="F61" s="439">
        <v>41389</v>
      </c>
      <c r="G61" s="14">
        <v>1</v>
      </c>
      <c r="H61" s="437">
        <v>102.1</v>
      </c>
      <c r="I61" s="502"/>
      <c r="J61" s="543">
        <v>41394</v>
      </c>
      <c r="K61" s="800">
        <v>102.25</v>
      </c>
      <c r="L61" s="763">
        <v>0.01</v>
      </c>
      <c r="M61" s="426">
        <v>10</v>
      </c>
      <c r="N61" s="764">
        <f>SUM((K61-H61)/L61*M61)*G61</f>
        <v>150.00000000000568</v>
      </c>
      <c r="O61" s="760" t="s">
        <v>1278</v>
      </c>
      <c r="P61" s="677">
        <v>1</v>
      </c>
      <c r="Q61" s="430">
        <f t="shared" si="5"/>
        <v>150.00000000000568</v>
      </c>
      <c r="R61" s="774"/>
    </row>
    <row r="62" spans="1:19" s="2" customFormat="1" ht="15" customHeight="1">
      <c r="A62" s="14" t="s">
        <v>1163</v>
      </c>
      <c r="B62" s="14" t="s">
        <v>79</v>
      </c>
      <c r="C62" s="14" t="s">
        <v>1165</v>
      </c>
      <c r="D62" s="761">
        <v>41426</v>
      </c>
      <c r="E62" s="761" t="s">
        <v>53</v>
      </c>
      <c r="F62" s="439">
        <v>41388</v>
      </c>
      <c r="G62" s="14">
        <v>1</v>
      </c>
      <c r="H62" s="437">
        <v>90.62</v>
      </c>
      <c r="I62" s="502"/>
      <c r="J62" s="543">
        <v>41395</v>
      </c>
      <c r="K62" s="800">
        <v>91.11</v>
      </c>
      <c r="L62" s="763">
        <v>0.01</v>
      </c>
      <c r="M62" s="426">
        <v>10</v>
      </c>
      <c r="N62" s="764">
        <f>SUM((K62-H62)/L62*M62)*G62</f>
        <v>489.99999999999488</v>
      </c>
      <c r="O62" s="760" t="s">
        <v>1278</v>
      </c>
      <c r="P62" s="677">
        <v>1</v>
      </c>
      <c r="Q62" s="430">
        <f t="shared" si="5"/>
        <v>489.99999999999488</v>
      </c>
      <c r="R62" s="774"/>
    </row>
    <row r="63" spans="1:19" s="2" customFormat="1" ht="15" customHeight="1">
      <c r="A63" s="14" t="s">
        <v>1020</v>
      </c>
      <c r="B63" s="14" t="s">
        <v>1021</v>
      </c>
      <c r="C63" s="14" t="s">
        <v>1182</v>
      </c>
      <c r="D63" s="761">
        <v>41456</v>
      </c>
      <c r="E63" s="761" t="s">
        <v>53</v>
      </c>
      <c r="F63" s="439">
        <v>41394</v>
      </c>
      <c r="G63" s="14">
        <v>1</v>
      </c>
      <c r="H63" s="437">
        <v>2388.3000000000002</v>
      </c>
      <c r="I63" s="502"/>
      <c r="J63" s="543">
        <v>41403</v>
      </c>
      <c r="K63" s="800">
        <v>2360</v>
      </c>
      <c r="L63" s="763">
        <v>1</v>
      </c>
      <c r="M63" s="426">
        <v>10</v>
      </c>
      <c r="N63" s="764">
        <f>SUM((K63-H63)/L63*M63)*G63</f>
        <v>-283.00000000000182</v>
      </c>
      <c r="O63" s="760" t="s">
        <v>1278</v>
      </c>
      <c r="P63" s="677">
        <v>1</v>
      </c>
      <c r="Q63" s="475">
        <f t="shared" si="5"/>
        <v>-283.00000000000182</v>
      </c>
      <c r="R63" s="774"/>
    </row>
    <row r="64" spans="1:19">
      <c r="A64" s="14" t="s">
        <v>50</v>
      </c>
      <c r="B64" s="14" t="s">
        <v>49</v>
      </c>
      <c r="C64" s="14" t="s">
        <v>1253</v>
      </c>
      <c r="D64" s="761">
        <v>41426</v>
      </c>
      <c r="E64" s="761" t="s">
        <v>53</v>
      </c>
      <c r="F64" s="522">
        <v>41414</v>
      </c>
      <c r="G64" s="425">
        <v>1</v>
      </c>
      <c r="H64" s="800">
        <v>883.3</v>
      </c>
      <c r="I64" s="502"/>
      <c r="J64" s="543">
        <v>41417</v>
      </c>
      <c r="K64" s="800">
        <v>865.3</v>
      </c>
      <c r="L64" s="763">
        <v>0.25</v>
      </c>
      <c r="M64" s="636">
        <v>25</v>
      </c>
      <c r="N64" s="764">
        <f>SUM((K64-H64)/L64*M64)*G64</f>
        <v>-1800</v>
      </c>
      <c r="O64" s="760" t="s">
        <v>1278</v>
      </c>
      <c r="P64" s="677">
        <v>1</v>
      </c>
      <c r="Q64" s="475">
        <f t="shared" si="5"/>
        <v>-1800</v>
      </c>
      <c r="S64" s="118"/>
    </row>
    <row r="65" spans="1:19" s="327" customFormat="1" ht="15" customHeight="1">
      <c r="A65" s="14" t="s">
        <v>50</v>
      </c>
      <c r="B65" s="14" t="s">
        <v>49</v>
      </c>
      <c r="C65" s="14" t="s">
        <v>1254</v>
      </c>
      <c r="D65" s="761">
        <v>41456</v>
      </c>
      <c r="E65" s="761" t="s">
        <v>53</v>
      </c>
      <c r="F65" s="522">
        <v>41444</v>
      </c>
      <c r="G65" s="425">
        <v>1</v>
      </c>
      <c r="H65" s="800">
        <v>891.5</v>
      </c>
      <c r="I65" s="502"/>
      <c r="J65" s="543">
        <v>41445</v>
      </c>
      <c r="K65" s="800">
        <v>885</v>
      </c>
      <c r="L65" s="763">
        <v>1</v>
      </c>
      <c r="M65" s="636">
        <v>0.25</v>
      </c>
      <c r="N65" s="764">
        <v>25</v>
      </c>
      <c r="O65" s="760" t="s">
        <v>1278</v>
      </c>
      <c r="P65" s="677">
        <v>1</v>
      </c>
      <c r="Q65" s="430">
        <f t="shared" si="5"/>
        <v>25</v>
      </c>
      <c r="R65" s="541"/>
      <c r="S65" s="118"/>
    </row>
    <row r="66" spans="1:19" s="327" customFormat="1" ht="15" customHeight="1">
      <c r="A66" s="14" t="s">
        <v>925</v>
      </c>
      <c r="B66" s="14" t="s">
        <v>2</v>
      </c>
      <c r="C66" s="14" t="s">
        <v>1255</v>
      </c>
      <c r="D66" s="761">
        <v>41487</v>
      </c>
      <c r="E66" s="761" t="s">
        <v>53</v>
      </c>
      <c r="F66" s="522">
        <v>41442</v>
      </c>
      <c r="G66" s="425">
        <v>1</v>
      </c>
      <c r="H66" s="800">
        <v>106.3</v>
      </c>
      <c r="I66" s="502"/>
      <c r="J66" s="543">
        <v>41445</v>
      </c>
      <c r="K66" s="800">
        <v>104.6</v>
      </c>
      <c r="L66" s="763">
        <v>0.01</v>
      </c>
      <c r="M66" s="636">
        <v>10</v>
      </c>
      <c r="N66" s="764">
        <f>SUM((K66-H66)/L66*M66)*G66</f>
        <v>-1700.0000000000027</v>
      </c>
      <c r="O66" s="760" t="s">
        <v>1278</v>
      </c>
      <c r="P66" s="677">
        <v>1</v>
      </c>
      <c r="Q66" s="475">
        <f t="shared" si="5"/>
        <v>-1700.0000000000027</v>
      </c>
      <c r="R66" s="541"/>
      <c r="S66" s="118"/>
    </row>
    <row r="67" spans="1:19" s="327" customFormat="1" ht="15" customHeight="1">
      <c r="A67" s="14" t="s">
        <v>1256</v>
      </c>
      <c r="B67" s="14" t="s">
        <v>79</v>
      </c>
      <c r="C67" s="14" t="s">
        <v>1257</v>
      </c>
      <c r="D67" s="761">
        <v>41487</v>
      </c>
      <c r="E67" s="761" t="s">
        <v>53</v>
      </c>
      <c r="F67" s="522">
        <v>41442</v>
      </c>
      <c r="G67" s="425">
        <v>1</v>
      </c>
      <c r="H67" s="800">
        <v>98.06</v>
      </c>
      <c r="I67" s="502"/>
      <c r="J67" s="543">
        <v>41445</v>
      </c>
      <c r="K67" s="800">
        <v>96.82</v>
      </c>
      <c r="L67" s="763">
        <v>0.01</v>
      </c>
      <c r="M67" s="636">
        <v>10</v>
      </c>
      <c r="N67" s="764">
        <f>SUM((K67-H67)/L67*M67)*G67</f>
        <v>-1240.0000000000091</v>
      </c>
      <c r="O67" s="760" t="s">
        <v>1278</v>
      </c>
      <c r="P67" s="677">
        <v>1</v>
      </c>
      <c r="Q67" s="475">
        <f t="shared" si="5"/>
        <v>-1240.0000000000091</v>
      </c>
      <c r="R67" s="541"/>
      <c r="S67" s="118"/>
    </row>
    <row r="68" spans="1:19" s="327" customFormat="1" ht="15" customHeight="1">
      <c r="A68" s="456" t="s">
        <v>894</v>
      </c>
      <c r="B68" s="456" t="s">
        <v>361</v>
      </c>
      <c r="C68" s="456" t="s">
        <v>1258</v>
      </c>
      <c r="D68" s="786">
        <v>41456</v>
      </c>
      <c r="E68" s="786" t="s">
        <v>78</v>
      </c>
      <c r="F68" s="505">
        <v>41445</v>
      </c>
      <c r="G68" s="484">
        <v>1</v>
      </c>
      <c r="H68" s="801">
        <v>124.4</v>
      </c>
      <c r="I68" s="789"/>
      <c r="J68" s="543">
        <v>41446</v>
      </c>
      <c r="K68" s="801">
        <v>120.9</v>
      </c>
      <c r="L68" s="790">
        <v>0.05</v>
      </c>
      <c r="M68" s="651">
        <v>18.75</v>
      </c>
      <c r="N68" s="791">
        <f>SUM((H68-K68)/L68*M68)*G68</f>
        <v>1312.5</v>
      </c>
      <c r="O68" s="760" t="s">
        <v>1278</v>
      </c>
      <c r="P68" s="677">
        <v>1</v>
      </c>
      <c r="Q68" s="430">
        <f t="shared" si="5"/>
        <v>1312.5</v>
      </c>
      <c r="R68" s="542"/>
      <c r="S68" s="118"/>
    </row>
    <row r="69" spans="1:19" s="333" customFormat="1" ht="15" customHeight="1">
      <c r="A69" s="456" t="s">
        <v>985</v>
      </c>
      <c r="B69" s="456" t="s">
        <v>738</v>
      </c>
      <c r="C69" s="456" t="s">
        <v>1259</v>
      </c>
      <c r="D69" s="786">
        <v>41487</v>
      </c>
      <c r="E69" s="786" t="s">
        <v>78</v>
      </c>
      <c r="F69" s="505">
        <v>41450</v>
      </c>
      <c r="G69" s="484">
        <v>1</v>
      </c>
      <c r="H69" s="801">
        <v>3.68</v>
      </c>
      <c r="I69" s="789"/>
      <c r="J69" s="543">
        <v>41457</v>
      </c>
      <c r="K69" s="801">
        <v>3.69</v>
      </c>
      <c r="L69" s="790">
        <v>1E-3</v>
      </c>
      <c r="M69" s="651">
        <v>10</v>
      </c>
      <c r="N69" s="791">
        <f>SUM((H69-K69)/L69*M69)*G69</f>
        <v>-99.999999999997868</v>
      </c>
      <c r="O69" s="760" t="s">
        <v>1278</v>
      </c>
      <c r="P69" s="677">
        <v>1</v>
      </c>
      <c r="Q69" s="475">
        <f t="shared" si="5"/>
        <v>-99.999999999997868</v>
      </c>
      <c r="R69" s="542"/>
      <c r="S69" s="118"/>
    </row>
    <row r="70" spans="1:19" s="333" customFormat="1" ht="15" customHeight="1">
      <c r="A70" s="14" t="s">
        <v>925</v>
      </c>
      <c r="B70" s="14" t="s">
        <v>2</v>
      </c>
      <c r="C70" s="14" t="s">
        <v>1270</v>
      </c>
      <c r="D70" s="761">
        <v>41518</v>
      </c>
      <c r="E70" s="761" t="s">
        <v>53</v>
      </c>
      <c r="F70" s="439">
        <v>41464</v>
      </c>
      <c r="G70" s="14">
        <v>1</v>
      </c>
      <c r="H70" s="437">
        <v>107.12</v>
      </c>
      <c r="I70" s="502"/>
      <c r="J70" s="543">
        <v>41474</v>
      </c>
      <c r="K70" s="800">
        <v>107.3</v>
      </c>
      <c r="L70" s="763">
        <v>0.01</v>
      </c>
      <c r="M70" s="426">
        <v>10</v>
      </c>
      <c r="N70" s="764">
        <f t="shared" ref="N70:N79" si="6">SUM((K70-H70)/L70*M70)*G70</f>
        <v>179.99999999999261</v>
      </c>
      <c r="O70" s="760" t="s">
        <v>1278</v>
      </c>
      <c r="P70" s="677">
        <v>1</v>
      </c>
      <c r="Q70" s="430">
        <f t="shared" si="5"/>
        <v>179.99999999999261</v>
      </c>
      <c r="R70" s="774"/>
      <c r="S70" s="327"/>
    </row>
    <row r="71" spans="1:19" s="327" customFormat="1" ht="15" customHeight="1">
      <c r="A71" s="14" t="s">
        <v>1265</v>
      </c>
      <c r="B71" s="14" t="s">
        <v>1266</v>
      </c>
      <c r="C71" s="14" t="s">
        <v>1267</v>
      </c>
      <c r="D71" s="761">
        <v>41487</v>
      </c>
      <c r="E71" s="761" t="s">
        <v>53</v>
      </c>
      <c r="F71" s="439">
        <v>41458</v>
      </c>
      <c r="G71" s="14">
        <v>1</v>
      </c>
      <c r="H71" s="437">
        <v>98.96</v>
      </c>
      <c r="I71" s="502"/>
      <c r="J71" s="543">
        <v>41477</v>
      </c>
      <c r="K71" s="892">
        <v>106.2</v>
      </c>
      <c r="L71" s="763">
        <v>0.01</v>
      </c>
      <c r="M71" s="426">
        <v>10</v>
      </c>
      <c r="N71" s="764">
        <f t="shared" si="6"/>
        <v>7240.0000000000091</v>
      </c>
      <c r="O71" s="760" t="s">
        <v>1278</v>
      </c>
      <c r="P71" s="677">
        <v>1</v>
      </c>
      <c r="Q71" s="430">
        <f t="shared" si="5"/>
        <v>7240.0000000000091</v>
      </c>
      <c r="R71" s="774"/>
    </row>
    <row r="72" spans="1:19" s="327" customFormat="1" ht="15" customHeight="1">
      <c r="A72" s="14" t="s">
        <v>50</v>
      </c>
      <c r="B72" s="14" t="s">
        <v>49</v>
      </c>
      <c r="C72" s="14" t="s">
        <v>1268</v>
      </c>
      <c r="D72" s="761">
        <v>41487</v>
      </c>
      <c r="E72" s="761" t="s">
        <v>53</v>
      </c>
      <c r="F72" s="439">
        <v>41459</v>
      </c>
      <c r="G72" s="14">
        <v>1</v>
      </c>
      <c r="H72" s="437">
        <v>911.3</v>
      </c>
      <c r="I72" s="502"/>
      <c r="J72" s="543">
        <v>41477</v>
      </c>
      <c r="K72" s="892">
        <v>916</v>
      </c>
      <c r="L72" s="763">
        <v>0.25</v>
      </c>
      <c r="M72" s="426">
        <v>25</v>
      </c>
      <c r="N72" s="764">
        <f t="shared" si="6"/>
        <v>470.00000000000455</v>
      </c>
      <c r="O72" s="760" t="s">
        <v>1278</v>
      </c>
      <c r="P72" s="677">
        <v>1</v>
      </c>
      <c r="Q72" s="430">
        <f t="shared" si="5"/>
        <v>470.00000000000455</v>
      </c>
      <c r="R72" s="774"/>
    </row>
    <row r="73" spans="1:19" s="327" customFormat="1" ht="15" customHeight="1">
      <c r="A73" s="14" t="s">
        <v>917</v>
      </c>
      <c r="B73" s="14" t="s">
        <v>918</v>
      </c>
      <c r="C73" s="14" t="s">
        <v>1269</v>
      </c>
      <c r="D73" s="761">
        <v>41487</v>
      </c>
      <c r="E73" s="761" t="s">
        <v>53</v>
      </c>
      <c r="F73" s="439">
        <v>41462</v>
      </c>
      <c r="G73" s="14">
        <v>1</v>
      </c>
      <c r="H73" s="437">
        <v>1829</v>
      </c>
      <c r="I73" s="502"/>
      <c r="J73" s="543">
        <v>41477</v>
      </c>
      <c r="K73" s="800">
        <v>1935</v>
      </c>
      <c r="L73" s="763">
        <v>1</v>
      </c>
      <c r="M73" s="426">
        <v>10</v>
      </c>
      <c r="N73" s="764">
        <f t="shared" si="6"/>
        <v>1060</v>
      </c>
      <c r="O73" s="760" t="s">
        <v>1278</v>
      </c>
      <c r="P73" s="677">
        <v>1</v>
      </c>
      <c r="Q73" s="430">
        <f t="shared" si="5"/>
        <v>1060</v>
      </c>
      <c r="R73" s="774"/>
    </row>
    <row r="74" spans="1:19" s="327" customFormat="1" ht="15" customHeight="1">
      <c r="A74" s="14" t="s">
        <v>84</v>
      </c>
      <c r="B74" s="14" t="s">
        <v>83</v>
      </c>
      <c r="C74" s="14" t="s">
        <v>1273</v>
      </c>
      <c r="D74" s="761">
        <v>37834</v>
      </c>
      <c r="E74" s="761" t="s">
        <v>53</v>
      </c>
      <c r="F74" s="439">
        <v>41466</v>
      </c>
      <c r="G74" s="14">
        <v>1</v>
      </c>
      <c r="H74" s="437">
        <v>296.48</v>
      </c>
      <c r="I74" s="502"/>
      <c r="J74" s="543">
        <v>41477</v>
      </c>
      <c r="K74" s="800">
        <v>306</v>
      </c>
      <c r="L74" s="763">
        <v>0.01</v>
      </c>
      <c r="M74" s="426">
        <v>4.2</v>
      </c>
      <c r="N74" s="764">
        <f t="shared" si="6"/>
        <v>3998.3999999999924</v>
      </c>
      <c r="O74" s="760" t="s">
        <v>1278</v>
      </c>
      <c r="P74" s="677">
        <v>1</v>
      </c>
      <c r="Q74" s="430">
        <f t="shared" si="5"/>
        <v>3998.3999999999924</v>
      </c>
      <c r="R74" s="774"/>
    </row>
    <row r="75" spans="1:19" s="327" customFormat="1" ht="15" customHeight="1">
      <c r="A75" s="14" t="s">
        <v>48</v>
      </c>
      <c r="B75" s="14" t="s">
        <v>47</v>
      </c>
      <c r="C75" s="14" t="s">
        <v>1260</v>
      </c>
      <c r="D75" s="761">
        <v>41487</v>
      </c>
      <c r="E75" s="761" t="s">
        <v>53</v>
      </c>
      <c r="F75" s="522">
        <v>41451</v>
      </c>
      <c r="G75" s="425">
        <v>1</v>
      </c>
      <c r="H75" s="800">
        <v>148.67500000000001</v>
      </c>
      <c r="I75" s="502"/>
      <c r="J75" s="543">
        <v>41479</v>
      </c>
      <c r="K75" s="800">
        <v>151.85</v>
      </c>
      <c r="L75" s="763">
        <v>2.5000000000000001E-2</v>
      </c>
      <c r="M75" s="636">
        <v>12.5</v>
      </c>
      <c r="N75" s="764">
        <f t="shared" si="6"/>
        <v>1587.4999999999914</v>
      </c>
      <c r="O75" s="760" t="s">
        <v>1278</v>
      </c>
      <c r="P75" s="677">
        <v>1</v>
      </c>
      <c r="Q75" s="430">
        <f t="shared" si="5"/>
        <v>1587.4999999999914</v>
      </c>
      <c r="R75" s="541"/>
      <c r="S75" s="118"/>
    </row>
    <row r="76" spans="1:19" s="327" customFormat="1" ht="15" customHeight="1">
      <c r="A76" s="14" t="s">
        <v>1262</v>
      </c>
      <c r="B76" s="14" t="s">
        <v>1263</v>
      </c>
      <c r="C76" s="14" t="s">
        <v>1264</v>
      </c>
      <c r="D76" s="761">
        <v>41518</v>
      </c>
      <c r="E76" s="761" t="s">
        <v>53</v>
      </c>
      <c r="F76" s="439">
        <v>41458</v>
      </c>
      <c r="G76" s="14">
        <v>1</v>
      </c>
      <c r="H76" s="437">
        <v>1484</v>
      </c>
      <c r="I76" s="502"/>
      <c r="J76" s="543">
        <v>41479</v>
      </c>
      <c r="K76" s="892">
        <v>1580</v>
      </c>
      <c r="L76" s="763">
        <v>1</v>
      </c>
      <c r="M76" s="426">
        <v>10</v>
      </c>
      <c r="N76" s="764">
        <f t="shared" si="6"/>
        <v>960</v>
      </c>
      <c r="O76" s="761" t="s">
        <v>380</v>
      </c>
      <c r="P76" s="677">
        <v>1.53667</v>
      </c>
      <c r="Q76" s="430">
        <f t="shared" si="5"/>
        <v>624.72749516812326</v>
      </c>
      <c r="R76" s="774"/>
    </row>
    <row r="77" spans="1:19" s="327" customFormat="1" ht="15" customHeight="1">
      <c r="A77" s="14" t="s">
        <v>1271</v>
      </c>
      <c r="B77" s="14" t="s">
        <v>75</v>
      </c>
      <c r="C77" s="14" t="s">
        <v>1272</v>
      </c>
      <c r="D77" s="761">
        <v>41518</v>
      </c>
      <c r="E77" s="761" t="s">
        <v>53</v>
      </c>
      <c r="F77" s="439">
        <v>41466</v>
      </c>
      <c r="G77" s="14">
        <v>1</v>
      </c>
      <c r="H77" s="437">
        <v>8123</v>
      </c>
      <c r="I77" s="502"/>
      <c r="J77" s="543">
        <v>41479</v>
      </c>
      <c r="K77" s="800">
        <v>8280</v>
      </c>
      <c r="L77" s="763">
        <v>0.5</v>
      </c>
      <c r="M77" s="426">
        <v>12.5</v>
      </c>
      <c r="N77" s="764">
        <f t="shared" si="6"/>
        <v>3925</v>
      </c>
      <c r="O77" s="761" t="s">
        <v>379</v>
      </c>
      <c r="P77" s="677">
        <v>1.3223</v>
      </c>
      <c r="Q77" s="430">
        <f t="shared" si="5"/>
        <v>2968.312788323376</v>
      </c>
      <c r="R77" s="774"/>
    </row>
    <row r="78" spans="1:19" s="327" customFormat="1" ht="15" customHeight="1">
      <c r="A78" s="14" t="s">
        <v>59</v>
      </c>
      <c r="B78" s="14" t="s">
        <v>58</v>
      </c>
      <c r="C78" s="14" t="s">
        <v>1276</v>
      </c>
      <c r="D78" s="761">
        <v>41487</v>
      </c>
      <c r="E78" s="761" t="s">
        <v>53</v>
      </c>
      <c r="F78" s="439">
        <v>41477</v>
      </c>
      <c r="G78" s="14">
        <v>1</v>
      </c>
      <c r="H78" s="437">
        <v>1311.95</v>
      </c>
      <c r="I78" s="502"/>
      <c r="J78" s="543">
        <v>41479</v>
      </c>
      <c r="K78" s="800">
        <v>1315</v>
      </c>
      <c r="L78" s="763">
        <v>1</v>
      </c>
      <c r="M78" s="426">
        <v>100</v>
      </c>
      <c r="N78" s="764">
        <f t="shared" si="6"/>
        <v>304.99999999999545</v>
      </c>
      <c r="O78" s="760" t="s">
        <v>1278</v>
      </c>
      <c r="P78" s="677">
        <v>1</v>
      </c>
      <c r="Q78" s="430">
        <f t="shared" si="5"/>
        <v>304.99999999999545</v>
      </c>
      <c r="R78" s="774"/>
    </row>
    <row r="79" spans="1:19" s="327" customFormat="1" ht="15" customHeight="1">
      <c r="A79" s="14" t="s">
        <v>1063</v>
      </c>
      <c r="B79" s="14" t="s">
        <v>70</v>
      </c>
      <c r="C79" s="14" t="s">
        <v>1277</v>
      </c>
      <c r="D79" s="761">
        <v>41487</v>
      </c>
      <c r="E79" s="761" t="s">
        <v>53</v>
      </c>
      <c r="F79" s="439">
        <v>41477</v>
      </c>
      <c r="G79" s="14">
        <v>1</v>
      </c>
      <c r="H79" s="437">
        <v>321.05</v>
      </c>
      <c r="I79" s="502"/>
      <c r="J79" s="543">
        <v>41480</v>
      </c>
      <c r="K79" s="800">
        <v>314.5</v>
      </c>
      <c r="L79" s="763">
        <v>0.05</v>
      </c>
      <c r="M79" s="426">
        <v>12.5</v>
      </c>
      <c r="N79" s="764">
        <f t="shared" si="6"/>
        <v>-1637.5000000000027</v>
      </c>
      <c r="O79" s="760" t="s">
        <v>1278</v>
      </c>
      <c r="P79" s="677">
        <v>1</v>
      </c>
      <c r="Q79" s="475">
        <f t="shared" si="5"/>
        <v>-1637.5000000000027</v>
      </c>
      <c r="R79" s="774"/>
    </row>
    <row r="80" spans="1:19" s="327" customFormat="1" ht="15" customHeight="1">
      <c r="A80" s="14" t="s">
        <v>897</v>
      </c>
      <c r="B80" s="14" t="s">
        <v>807</v>
      </c>
      <c r="C80" s="14" t="s">
        <v>1285</v>
      </c>
      <c r="D80" s="761">
        <v>41518</v>
      </c>
      <c r="E80" s="761" t="s">
        <v>53</v>
      </c>
      <c r="F80" s="439">
        <v>41500</v>
      </c>
      <c r="G80" s="14">
        <v>1</v>
      </c>
      <c r="H80" s="437">
        <v>299</v>
      </c>
      <c r="I80" s="502"/>
      <c r="J80" s="543">
        <v>41505</v>
      </c>
      <c r="K80" s="800">
        <v>294.8</v>
      </c>
      <c r="L80" s="763">
        <v>0.01</v>
      </c>
      <c r="M80" s="426">
        <v>4.2</v>
      </c>
      <c r="N80" s="764">
        <f t="shared" ref="N80:N86" si="7">SUM((K80-H80)/L80*M80)*G80</f>
        <v>-1763.9999999999952</v>
      </c>
      <c r="O80" s="761" t="s">
        <v>884</v>
      </c>
      <c r="P80" s="677">
        <v>1</v>
      </c>
      <c r="Q80" s="430">
        <f t="shared" ref="Q80:Q86" si="8">SUM(N80*P80)</f>
        <v>-1763.9999999999952</v>
      </c>
      <c r="R80" s="774"/>
    </row>
    <row r="81" spans="1:18" s="327" customFormat="1" ht="15" customHeight="1">
      <c r="A81" s="14" t="s">
        <v>925</v>
      </c>
      <c r="B81" s="14" t="s">
        <v>2</v>
      </c>
      <c r="C81" s="14" t="s">
        <v>1284</v>
      </c>
      <c r="D81" s="761">
        <v>41548</v>
      </c>
      <c r="E81" s="761" t="s">
        <v>53</v>
      </c>
      <c r="F81" s="439">
        <v>41501</v>
      </c>
      <c r="G81" s="14">
        <v>1</v>
      </c>
      <c r="H81" s="437">
        <v>109.93</v>
      </c>
      <c r="I81" s="502"/>
      <c r="J81" s="543">
        <v>41506</v>
      </c>
      <c r="K81" s="800">
        <v>108.77</v>
      </c>
      <c r="L81" s="763">
        <v>0.01</v>
      </c>
      <c r="M81" s="426">
        <v>10</v>
      </c>
      <c r="N81" s="764">
        <f t="shared" si="7"/>
        <v>-1160.0000000000109</v>
      </c>
      <c r="O81" s="761" t="s">
        <v>884</v>
      </c>
      <c r="P81" s="677">
        <v>1</v>
      </c>
      <c r="Q81" s="430">
        <f t="shared" si="8"/>
        <v>-1160.0000000000109</v>
      </c>
      <c r="R81" s="774"/>
    </row>
    <row r="82" spans="1:18" s="327" customFormat="1" ht="15" customHeight="1">
      <c r="A82" s="14" t="s">
        <v>1286</v>
      </c>
      <c r="B82" s="14" t="s">
        <v>921</v>
      </c>
      <c r="C82" s="14" t="s">
        <v>1287</v>
      </c>
      <c r="D82" s="761">
        <v>41518</v>
      </c>
      <c r="E82" s="761" t="s">
        <v>53</v>
      </c>
      <c r="F82" s="439">
        <v>41502</v>
      </c>
      <c r="G82" s="14">
        <v>1</v>
      </c>
      <c r="H82" s="437">
        <v>43.28</v>
      </c>
      <c r="I82" s="502"/>
      <c r="J82" s="543">
        <v>41508</v>
      </c>
      <c r="K82" s="800">
        <v>42.65</v>
      </c>
      <c r="L82" s="763">
        <v>0.01</v>
      </c>
      <c r="M82" s="426">
        <v>6</v>
      </c>
      <c r="N82" s="764">
        <f t="shared" si="7"/>
        <v>-378.00000000000153</v>
      </c>
      <c r="O82" s="761" t="s">
        <v>884</v>
      </c>
      <c r="P82" s="677">
        <v>1</v>
      </c>
      <c r="Q82" s="430">
        <f t="shared" si="8"/>
        <v>-378.00000000000153</v>
      </c>
      <c r="R82" s="774"/>
    </row>
    <row r="83" spans="1:18" s="327" customFormat="1" ht="15" customHeight="1">
      <c r="A83" s="14" t="s">
        <v>1</v>
      </c>
      <c r="B83" s="14" t="s">
        <v>2</v>
      </c>
      <c r="C83" s="14" t="s">
        <v>1284</v>
      </c>
      <c r="D83" s="761">
        <v>41548</v>
      </c>
      <c r="E83" s="761" t="s">
        <v>53</v>
      </c>
      <c r="F83" s="439">
        <v>41512</v>
      </c>
      <c r="G83" s="14">
        <v>1</v>
      </c>
      <c r="H83" s="437">
        <v>111.5</v>
      </c>
      <c r="I83" s="502"/>
      <c r="J83" s="543">
        <v>41512</v>
      </c>
      <c r="K83" s="800">
        <v>110.5</v>
      </c>
      <c r="L83" s="763">
        <v>0.01</v>
      </c>
      <c r="M83" s="426">
        <v>10</v>
      </c>
      <c r="N83" s="764">
        <f t="shared" si="7"/>
        <v>-1000</v>
      </c>
      <c r="O83" s="761" t="s">
        <v>884</v>
      </c>
      <c r="P83" s="759">
        <v>1</v>
      </c>
      <c r="Q83" s="430">
        <f t="shared" si="8"/>
        <v>-1000</v>
      </c>
      <c r="R83" s="774"/>
    </row>
    <row r="84" spans="1:18">
      <c r="A84" s="14" t="s">
        <v>52</v>
      </c>
      <c r="B84" s="14" t="s">
        <v>1313</v>
      </c>
      <c r="C84" s="14" t="s">
        <v>1314</v>
      </c>
      <c r="D84" s="761">
        <v>41518</v>
      </c>
      <c r="E84" s="761" t="s">
        <v>53</v>
      </c>
      <c r="F84" s="439">
        <v>41513</v>
      </c>
      <c r="G84" s="14">
        <v>1</v>
      </c>
      <c r="H84" s="437">
        <v>1557</v>
      </c>
      <c r="I84" s="502"/>
      <c r="J84" s="543">
        <v>41513</v>
      </c>
      <c r="K84" s="800">
        <v>1528.6</v>
      </c>
      <c r="L84" s="802">
        <v>0.1</v>
      </c>
      <c r="M84" s="803">
        <v>5</v>
      </c>
      <c r="N84" s="764">
        <f t="shared" si="7"/>
        <v>-1420.0000000000045</v>
      </c>
      <c r="O84" s="761" t="s">
        <v>884</v>
      </c>
      <c r="P84" s="759">
        <v>1</v>
      </c>
      <c r="Q84" s="430">
        <f t="shared" si="8"/>
        <v>-1420.0000000000045</v>
      </c>
    </row>
    <row r="85" spans="1:18" s="327" customFormat="1" ht="15" customHeight="1">
      <c r="A85" s="14" t="s">
        <v>1310</v>
      </c>
      <c r="B85" s="14" t="s">
        <v>1311</v>
      </c>
      <c r="C85" s="524" t="s">
        <v>1312</v>
      </c>
      <c r="D85" s="761">
        <v>41518</v>
      </c>
      <c r="E85" s="761" t="s">
        <v>53</v>
      </c>
      <c r="F85" s="439">
        <v>41512</v>
      </c>
      <c r="G85" s="14">
        <v>1</v>
      </c>
      <c r="H85" s="437">
        <v>506.75</v>
      </c>
      <c r="I85" s="502"/>
      <c r="J85" s="543">
        <v>41514</v>
      </c>
      <c r="K85" s="800">
        <v>492.25</v>
      </c>
      <c r="L85" s="763">
        <v>0.25</v>
      </c>
      <c r="M85" s="426">
        <v>12.5</v>
      </c>
      <c r="N85" s="764">
        <f t="shared" si="7"/>
        <v>-725</v>
      </c>
      <c r="O85" s="761" t="s">
        <v>884</v>
      </c>
      <c r="P85" s="759">
        <v>1</v>
      </c>
      <c r="Q85" s="430">
        <f t="shared" si="8"/>
        <v>-725</v>
      </c>
      <c r="R85" s="774"/>
    </row>
    <row r="86" spans="1:18" s="327" customFormat="1" ht="15" customHeight="1">
      <c r="A86" s="14" t="s">
        <v>1307</v>
      </c>
      <c r="B86" s="14" t="s">
        <v>49</v>
      </c>
      <c r="C86" s="14" t="s">
        <v>1308</v>
      </c>
      <c r="D86" s="761">
        <v>41518</v>
      </c>
      <c r="E86" s="761" t="s">
        <v>53</v>
      </c>
      <c r="F86" s="439">
        <v>41513</v>
      </c>
      <c r="G86" s="14">
        <v>1</v>
      </c>
      <c r="H86" s="437">
        <v>953</v>
      </c>
      <c r="I86" s="502"/>
      <c r="J86" s="543">
        <v>41519</v>
      </c>
      <c r="K86" s="800">
        <v>954</v>
      </c>
      <c r="L86" s="763">
        <v>0.25</v>
      </c>
      <c r="M86" s="426">
        <v>25</v>
      </c>
      <c r="N86" s="764">
        <f t="shared" si="7"/>
        <v>100</v>
      </c>
      <c r="O86" s="761" t="s">
        <v>884</v>
      </c>
      <c r="P86" s="759">
        <v>1</v>
      </c>
      <c r="Q86" s="430">
        <f t="shared" si="8"/>
        <v>100</v>
      </c>
      <c r="R86" s="774"/>
    </row>
    <row r="87" spans="1:18" s="327" customFormat="1" ht="15" customHeight="1">
      <c r="A87" s="14" t="s">
        <v>985</v>
      </c>
      <c r="B87" s="14" t="s">
        <v>738</v>
      </c>
      <c r="C87" s="14" t="s">
        <v>1315</v>
      </c>
      <c r="D87" s="761">
        <v>41548</v>
      </c>
      <c r="E87" s="761" t="s">
        <v>53</v>
      </c>
      <c r="F87" s="439">
        <v>41515</v>
      </c>
      <c r="G87" s="14">
        <v>1</v>
      </c>
      <c r="H87" s="437">
        <v>3.641</v>
      </c>
      <c r="I87" s="502"/>
      <c r="J87" s="543">
        <v>41523</v>
      </c>
      <c r="K87" s="800">
        <v>3.56</v>
      </c>
      <c r="L87" s="763">
        <v>1E-3</v>
      </c>
      <c r="M87" s="426">
        <v>10</v>
      </c>
      <c r="N87" s="764">
        <f>SUM((K87-H87)/L87*M87)*G87</f>
        <v>-809.99999999999955</v>
      </c>
      <c r="O87" s="761" t="s">
        <v>884</v>
      </c>
      <c r="P87" s="759">
        <v>1</v>
      </c>
      <c r="Q87" s="430">
        <f t="shared" ref="Q87:Q95" si="9">SUM(N87*P87)</f>
        <v>-809.99999999999955</v>
      </c>
      <c r="R87" s="774"/>
    </row>
    <row r="88" spans="1:18" s="333" customFormat="1" ht="15" customHeight="1">
      <c r="A88" s="456" t="s">
        <v>386</v>
      </c>
      <c r="B88" s="456" t="s">
        <v>1066</v>
      </c>
      <c r="C88" s="456" t="s">
        <v>1316</v>
      </c>
      <c r="D88" s="786">
        <v>41548</v>
      </c>
      <c r="E88" s="786" t="s">
        <v>78</v>
      </c>
      <c r="F88" s="787">
        <v>41516</v>
      </c>
      <c r="G88" s="456">
        <v>1</v>
      </c>
      <c r="H88" s="788">
        <v>83.07</v>
      </c>
      <c r="I88" s="789"/>
      <c r="J88" s="543">
        <v>41517</v>
      </c>
      <c r="K88" s="801">
        <v>84.2</v>
      </c>
      <c r="L88" s="790">
        <v>0.01</v>
      </c>
      <c r="M88" s="470">
        <v>5</v>
      </c>
      <c r="N88" s="791">
        <f>SUM((H88-K88)/L88*M88)*G88</f>
        <v>-565.00000000000477</v>
      </c>
      <c r="O88" s="786" t="s">
        <v>884</v>
      </c>
      <c r="P88" s="677">
        <v>1</v>
      </c>
      <c r="Q88" s="475">
        <f t="shared" si="9"/>
        <v>-565.00000000000477</v>
      </c>
      <c r="R88" s="792"/>
    </row>
    <row r="89" spans="1:18" s="327" customFormat="1" ht="15" customHeight="1">
      <c r="A89" s="14" t="s">
        <v>84</v>
      </c>
      <c r="B89" s="14" t="s">
        <v>83</v>
      </c>
      <c r="C89" s="14" t="s">
        <v>1365</v>
      </c>
      <c r="D89" s="761">
        <v>41579</v>
      </c>
      <c r="E89" s="761" t="s">
        <v>53</v>
      </c>
      <c r="F89" s="439">
        <v>41544</v>
      </c>
      <c r="G89" s="14">
        <v>2</v>
      </c>
      <c r="H89" s="437">
        <v>301.60000000000002</v>
      </c>
      <c r="I89" s="502"/>
      <c r="J89" s="543">
        <v>41544</v>
      </c>
      <c r="K89" s="800">
        <v>299</v>
      </c>
      <c r="L89" s="763">
        <v>0.01</v>
      </c>
      <c r="M89" s="426">
        <v>4.2</v>
      </c>
      <c r="N89" s="764">
        <f>SUM((K89-H89)/L89*M89)*G89</f>
        <v>-2184.0000000000191</v>
      </c>
      <c r="O89" s="761" t="s">
        <v>884</v>
      </c>
      <c r="P89" s="759">
        <v>1</v>
      </c>
      <c r="Q89" s="430">
        <f t="shared" si="9"/>
        <v>-2184.0000000000191</v>
      </c>
      <c r="R89" s="774"/>
    </row>
    <row r="90" spans="1:18" s="333" customFormat="1" ht="15" customHeight="1">
      <c r="A90" s="456" t="s">
        <v>1340</v>
      </c>
      <c r="B90" s="456" t="s">
        <v>918</v>
      </c>
      <c r="C90" s="456" t="s">
        <v>1341</v>
      </c>
      <c r="D90" s="786">
        <v>41579</v>
      </c>
      <c r="E90" s="786" t="s">
        <v>78</v>
      </c>
      <c r="F90" s="787">
        <v>41534</v>
      </c>
      <c r="G90" s="456">
        <v>6</v>
      </c>
      <c r="H90" s="788">
        <v>1718</v>
      </c>
      <c r="I90" s="789"/>
      <c r="J90" s="543">
        <v>41540</v>
      </c>
      <c r="K90" s="801">
        <v>1702</v>
      </c>
      <c r="L90" s="790">
        <v>1</v>
      </c>
      <c r="M90" s="470">
        <v>10</v>
      </c>
      <c r="N90" s="791">
        <f>SUM((H90-K90)/L90*M90)*G90</f>
        <v>960</v>
      </c>
      <c r="O90" s="786" t="s">
        <v>884</v>
      </c>
      <c r="P90" s="677">
        <v>1</v>
      </c>
      <c r="Q90" s="475">
        <f t="shared" si="9"/>
        <v>960</v>
      </c>
      <c r="R90" s="792"/>
    </row>
    <row r="91" spans="1:18" s="327" customFormat="1" ht="15" customHeight="1">
      <c r="A91" s="14" t="s">
        <v>50</v>
      </c>
      <c r="B91" s="14" t="s">
        <v>1066</v>
      </c>
      <c r="C91" s="14" t="s">
        <v>1364</v>
      </c>
      <c r="D91" s="761">
        <v>41548</v>
      </c>
      <c r="E91" s="761" t="s">
        <v>53</v>
      </c>
      <c r="F91" s="439">
        <v>41544</v>
      </c>
      <c r="G91" s="14">
        <v>3</v>
      </c>
      <c r="H91" s="437">
        <v>927.03</v>
      </c>
      <c r="I91" s="502"/>
      <c r="J91" s="543">
        <v>41547</v>
      </c>
      <c r="K91" s="800">
        <v>918.97</v>
      </c>
      <c r="L91" s="763">
        <v>0.25</v>
      </c>
      <c r="M91" s="426">
        <v>25</v>
      </c>
      <c r="N91" s="764">
        <f>SUM((K91-H91)/L91*M91)*G91</f>
        <v>-2417.9999999999836</v>
      </c>
      <c r="O91" s="761" t="s">
        <v>884</v>
      </c>
      <c r="P91" s="759">
        <v>1</v>
      </c>
      <c r="Q91" s="430">
        <f t="shared" si="9"/>
        <v>-2417.9999999999836</v>
      </c>
      <c r="R91" s="774"/>
    </row>
    <row r="92" spans="1:18" s="333" customFormat="1" ht="15" customHeight="1">
      <c r="A92" s="456" t="s">
        <v>1375</v>
      </c>
      <c r="B92" s="456" t="s">
        <v>2</v>
      </c>
      <c r="C92" s="456" t="s">
        <v>1376</v>
      </c>
      <c r="D92" s="786">
        <v>41579</v>
      </c>
      <c r="E92" s="786" t="s">
        <v>78</v>
      </c>
      <c r="F92" s="787">
        <v>41548</v>
      </c>
      <c r="G92" s="456">
        <v>2</v>
      </c>
      <c r="H92" s="788">
        <v>106.9</v>
      </c>
      <c r="I92" s="789"/>
      <c r="J92" s="543">
        <v>41548</v>
      </c>
      <c r="K92" s="801">
        <v>107.92</v>
      </c>
      <c r="L92" s="790">
        <v>0.01</v>
      </c>
      <c r="M92" s="470">
        <v>10</v>
      </c>
      <c r="N92" s="791">
        <f>SUM((H92-K92)/L92*M92)*G92</f>
        <v>-2039.999999999992</v>
      </c>
      <c r="O92" s="786" t="s">
        <v>884</v>
      </c>
      <c r="P92" s="677">
        <v>1</v>
      </c>
      <c r="Q92" s="475">
        <f t="shared" si="9"/>
        <v>-2039.999999999992</v>
      </c>
      <c r="R92" s="792"/>
    </row>
    <row r="93" spans="1:18" s="327" customFormat="1" ht="15" customHeight="1">
      <c r="A93" s="14" t="s">
        <v>985</v>
      </c>
      <c r="B93" s="14" t="s">
        <v>738</v>
      </c>
      <c r="C93" s="14" t="s">
        <v>1377</v>
      </c>
      <c r="D93" s="761">
        <v>41579</v>
      </c>
      <c r="E93" s="761" t="s">
        <v>53</v>
      </c>
      <c r="F93" s="439">
        <v>40544</v>
      </c>
      <c r="G93" s="14">
        <v>4</v>
      </c>
      <c r="H93" s="437">
        <v>3.6259999999999999</v>
      </c>
      <c r="I93" s="502"/>
      <c r="J93" s="543">
        <v>41549</v>
      </c>
      <c r="K93" s="800">
        <v>3.5760000000000001</v>
      </c>
      <c r="L93" s="763">
        <v>1E-3</v>
      </c>
      <c r="M93" s="426">
        <v>10</v>
      </c>
      <c r="N93" s="764">
        <f>SUM((K93-H93)/L93*M93)*G93</f>
        <v>-1999.999999999993</v>
      </c>
      <c r="O93" s="761" t="s">
        <v>884</v>
      </c>
      <c r="P93" s="759">
        <v>1</v>
      </c>
      <c r="Q93" s="430">
        <f t="shared" si="9"/>
        <v>-1999.999999999993</v>
      </c>
      <c r="R93" s="774"/>
    </row>
    <row r="94" spans="1:18" s="333" customFormat="1" ht="15" customHeight="1">
      <c r="A94" s="456" t="s">
        <v>1372</v>
      </c>
      <c r="B94" s="456" t="s">
        <v>1373</v>
      </c>
      <c r="C94" s="456" t="s">
        <v>1374</v>
      </c>
      <c r="D94" s="786">
        <v>41579</v>
      </c>
      <c r="E94" s="786" t="s">
        <v>78</v>
      </c>
      <c r="F94" s="787">
        <v>41547</v>
      </c>
      <c r="G94" s="456">
        <v>2</v>
      </c>
      <c r="H94" s="788">
        <v>101.7</v>
      </c>
      <c r="I94" s="789"/>
      <c r="J94" s="543">
        <v>41549</v>
      </c>
      <c r="K94" s="801">
        <v>102.7</v>
      </c>
      <c r="L94" s="790">
        <v>0.01</v>
      </c>
      <c r="M94" s="470">
        <v>10</v>
      </c>
      <c r="N94" s="791">
        <f>SUM((H94-K94)/L94*M94)*G94</f>
        <v>-2000</v>
      </c>
      <c r="O94" s="786" t="s">
        <v>884</v>
      </c>
      <c r="P94" s="677">
        <v>1</v>
      </c>
      <c r="Q94" s="475">
        <f t="shared" si="9"/>
        <v>-2000</v>
      </c>
      <c r="R94" s="792"/>
    </row>
    <row r="95" spans="1:18" s="333" customFormat="1" ht="15" customHeight="1">
      <c r="A95" s="456" t="s">
        <v>107</v>
      </c>
      <c r="B95" s="456" t="s">
        <v>106</v>
      </c>
      <c r="C95" s="456" t="s">
        <v>1370</v>
      </c>
      <c r="D95" s="786">
        <v>41579</v>
      </c>
      <c r="E95" s="786" t="s">
        <v>78</v>
      </c>
      <c r="F95" s="787">
        <v>41547</v>
      </c>
      <c r="G95" s="456">
        <v>1</v>
      </c>
      <c r="H95" s="788">
        <v>1292.5</v>
      </c>
      <c r="I95" s="789"/>
      <c r="J95" s="543">
        <v>41551</v>
      </c>
      <c r="K95" s="896">
        <v>1290</v>
      </c>
      <c r="L95" s="790">
        <v>0.25</v>
      </c>
      <c r="M95" s="470">
        <v>12.5</v>
      </c>
      <c r="N95" s="791">
        <f>SUM((H95-K95)/L95*M95)*G95</f>
        <v>125</v>
      </c>
      <c r="O95" s="786" t="s">
        <v>884</v>
      </c>
      <c r="P95" s="677">
        <v>1</v>
      </c>
      <c r="Q95" s="475">
        <f t="shared" si="9"/>
        <v>125</v>
      </c>
      <c r="R95" s="792"/>
    </row>
    <row r="96" spans="1:18" s="333" customFormat="1" ht="15" customHeight="1">
      <c r="A96" s="456" t="s">
        <v>1310</v>
      </c>
      <c r="B96" s="456" t="s">
        <v>1311</v>
      </c>
      <c r="C96" s="456" t="s">
        <v>1371</v>
      </c>
      <c r="D96" s="786">
        <v>41609</v>
      </c>
      <c r="E96" s="786" t="s">
        <v>78</v>
      </c>
      <c r="F96" s="787">
        <v>41547</v>
      </c>
      <c r="G96" s="456">
        <v>4</v>
      </c>
      <c r="H96" s="788">
        <v>446.5</v>
      </c>
      <c r="I96" s="789"/>
      <c r="J96" s="543">
        <v>41554</v>
      </c>
      <c r="K96" s="801">
        <v>444</v>
      </c>
      <c r="L96" s="790">
        <v>0.25</v>
      </c>
      <c r="M96" s="470">
        <v>12.5</v>
      </c>
      <c r="N96" s="791">
        <f>SUM((H96-K96)/L96*M96)*G96</f>
        <v>500</v>
      </c>
      <c r="O96" s="786" t="s">
        <v>884</v>
      </c>
      <c r="P96" s="677">
        <v>1</v>
      </c>
      <c r="Q96" s="475">
        <f>SUM(N96*P96)</f>
        <v>500</v>
      </c>
      <c r="R96" s="792"/>
    </row>
    <row r="97" spans="1:18" s="327" customFormat="1" ht="15" customHeight="1">
      <c r="A97" s="14" t="s">
        <v>386</v>
      </c>
      <c r="B97" s="14" t="s">
        <v>1066</v>
      </c>
      <c r="C97" s="14" t="s">
        <v>1363</v>
      </c>
      <c r="D97" s="761">
        <v>41609</v>
      </c>
      <c r="E97" s="761" t="s">
        <v>53</v>
      </c>
      <c r="F97" s="439">
        <v>41544</v>
      </c>
      <c r="G97" s="14">
        <v>8</v>
      </c>
      <c r="H97" s="437">
        <v>86.09</v>
      </c>
      <c r="I97" s="502"/>
      <c r="J97" s="543">
        <v>41554</v>
      </c>
      <c r="K97" s="800">
        <v>86.49</v>
      </c>
      <c r="L97" s="763">
        <v>0.01</v>
      </c>
      <c r="M97" s="426">
        <v>5</v>
      </c>
      <c r="N97" s="764">
        <f>SUM((K97-H97)/L97*M97)*G97</f>
        <v>1599.9999999999659</v>
      </c>
      <c r="O97" s="761" t="s">
        <v>884</v>
      </c>
      <c r="P97" s="759">
        <v>1</v>
      </c>
      <c r="Q97" s="430">
        <f>SUM(N97*P97)</f>
        <v>1599.9999999999659</v>
      </c>
      <c r="R97" s="774"/>
    </row>
    <row r="98" spans="1:18" s="333" customFormat="1" ht="15" customHeight="1">
      <c r="A98" s="456" t="s">
        <v>1286</v>
      </c>
      <c r="B98" s="456" t="s">
        <v>1368</v>
      </c>
      <c r="C98" s="456" t="s">
        <v>1369</v>
      </c>
      <c r="D98" s="786">
        <v>41609</v>
      </c>
      <c r="E98" s="786" t="s">
        <v>78</v>
      </c>
      <c r="F98" s="787">
        <v>41547</v>
      </c>
      <c r="G98" s="456">
        <v>5</v>
      </c>
      <c r="H98" s="788">
        <v>41.46</v>
      </c>
      <c r="I98" s="789"/>
      <c r="J98" s="543">
        <v>41555</v>
      </c>
      <c r="K98" s="801">
        <v>40.5</v>
      </c>
      <c r="L98" s="790">
        <v>0.01</v>
      </c>
      <c r="M98" s="470">
        <v>6</v>
      </c>
      <c r="N98" s="791">
        <f>SUM((H98-K98)/L98*M98)*G98</f>
        <v>2880.0000000000023</v>
      </c>
      <c r="O98" s="786" t="s">
        <v>884</v>
      </c>
      <c r="P98" s="677">
        <v>1</v>
      </c>
      <c r="Q98" s="475">
        <f t="shared" ref="Q98:Q103" si="10">SUM(N98*P98)</f>
        <v>2880.0000000000023</v>
      </c>
      <c r="R98" s="792"/>
    </row>
    <row r="99" spans="1:18" s="327" customFormat="1" ht="15" customHeight="1">
      <c r="A99" s="14" t="s">
        <v>987</v>
      </c>
      <c r="B99" s="14" t="s">
        <v>988</v>
      </c>
      <c r="C99" s="14" t="s">
        <v>1387</v>
      </c>
      <c r="D99" s="761">
        <v>41699</v>
      </c>
      <c r="E99" s="761" t="s">
        <v>53</v>
      </c>
      <c r="F99" s="439">
        <v>41555</v>
      </c>
      <c r="G99" s="14">
        <v>14</v>
      </c>
      <c r="H99" s="437">
        <v>18.63</v>
      </c>
      <c r="I99" s="502"/>
      <c r="J99" s="543">
        <v>41555</v>
      </c>
      <c r="K99" s="800">
        <v>18.489999999999998</v>
      </c>
      <c r="L99" s="763">
        <v>0.01</v>
      </c>
      <c r="M99" s="426">
        <v>11.2</v>
      </c>
      <c r="N99" s="764">
        <f>SUM((K99-H99)/L99*M99)*G99</f>
        <v>-2195.2000000000089</v>
      </c>
      <c r="O99" s="761" t="s">
        <v>884</v>
      </c>
      <c r="P99" s="759">
        <v>1</v>
      </c>
      <c r="Q99" s="430">
        <f t="shared" si="10"/>
        <v>-2195.2000000000089</v>
      </c>
      <c r="R99" s="774"/>
    </row>
    <row r="100" spans="1:18" s="327" customFormat="1" ht="15" customHeight="1">
      <c r="A100" s="14" t="s">
        <v>1307</v>
      </c>
      <c r="B100" s="14" t="s">
        <v>49</v>
      </c>
      <c r="C100" s="14" t="s">
        <v>1388</v>
      </c>
      <c r="D100" s="761">
        <v>41548</v>
      </c>
      <c r="E100" s="761" t="s">
        <v>53</v>
      </c>
      <c r="F100" s="439">
        <v>41555</v>
      </c>
      <c r="G100" s="14">
        <v>2</v>
      </c>
      <c r="H100" s="437">
        <v>935.5</v>
      </c>
      <c r="I100" s="502"/>
      <c r="J100" s="543">
        <v>41556</v>
      </c>
      <c r="K100" s="800">
        <v>927.5</v>
      </c>
      <c r="L100" s="763">
        <v>0.25</v>
      </c>
      <c r="M100" s="426">
        <v>25</v>
      </c>
      <c r="N100" s="764">
        <f>SUM((K100-H100)/L100*M100)*G100</f>
        <v>-1600</v>
      </c>
      <c r="O100" s="761" t="s">
        <v>884</v>
      </c>
      <c r="P100" s="759">
        <v>1</v>
      </c>
      <c r="Q100" s="430">
        <f t="shared" si="10"/>
        <v>-1600</v>
      </c>
      <c r="R100" s="774"/>
    </row>
    <row r="101" spans="1:18" s="327" customFormat="1" ht="15" customHeight="1">
      <c r="A101" s="14" t="s">
        <v>985</v>
      </c>
      <c r="B101" s="14" t="s">
        <v>738</v>
      </c>
      <c r="C101" s="14" t="s">
        <v>1377</v>
      </c>
      <c r="D101" s="761">
        <v>41579</v>
      </c>
      <c r="E101" s="761" t="s">
        <v>53</v>
      </c>
      <c r="F101" s="439">
        <v>41555</v>
      </c>
      <c r="G101" s="14">
        <v>4</v>
      </c>
      <c r="H101" s="437">
        <v>3.6779999999999999</v>
      </c>
      <c r="I101" s="502"/>
      <c r="J101" s="543">
        <v>41565</v>
      </c>
      <c r="K101" s="800">
        <v>3.8370000000000002</v>
      </c>
      <c r="L101" s="763">
        <v>1E-3</v>
      </c>
      <c r="M101" s="426">
        <v>10</v>
      </c>
      <c r="N101" s="764">
        <f>SUM((K101-H101)/L101*M101)*G101</f>
        <v>6360.00000000001</v>
      </c>
      <c r="O101" s="761" t="s">
        <v>884</v>
      </c>
      <c r="P101" s="759">
        <v>1</v>
      </c>
      <c r="Q101" s="430">
        <f t="shared" si="10"/>
        <v>6360.00000000001</v>
      </c>
      <c r="R101" s="774"/>
    </row>
    <row r="102" spans="1:18" s="327" customFormat="1" ht="15" customHeight="1">
      <c r="A102" s="14" t="s">
        <v>48</v>
      </c>
      <c r="B102" s="14" t="s">
        <v>47</v>
      </c>
      <c r="C102" s="14" t="s">
        <v>1366</v>
      </c>
      <c r="D102" s="761">
        <v>41548</v>
      </c>
      <c r="E102" s="761" t="s">
        <v>53</v>
      </c>
      <c r="F102" s="439">
        <v>41557</v>
      </c>
      <c r="G102" s="14">
        <v>7</v>
      </c>
      <c r="H102" s="437">
        <v>166.97499999999999</v>
      </c>
      <c r="I102" s="502"/>
      <c r="J102" s="543">
        <v>41563</v>
      </c>
      <c r="K102" s="800">
        <v>167</v>
      </c>
      <c r="L102" s="763">
        <v>2.5000000000000001E-2</v>
      </c>
      <c r="M102" s="426">
        <v>12.5</v>
      </c>
      <c r="N102" s="764">
        <f>SUM((K102-H102)/L102*M102)*G102</f>
        <v>87.500000000019895</v>
      </c>
      <c r="O102" s="761" t="s">
        <v>884</v>
      </c>
      <c r="P102" s="759">
        <v>1</v>
      </c>
      <c r="Q102" s="430">
        <f t="shared" si="10"/>
        <v>87.500000000019895</v>
      </c>
      <c r="R102" s="774"/>
    </row>
    <row r="103" spans="1:18" s="327" customFormat="1" ht="15" customHeight="1">
      <c r="A103" s="14" t="s">
        <v>63</v>
      </c>
      <c r="B103" s="14" t="s">
        <v>62</v>
      </c>
      <c r="C103" s="14" t="s">
        <v>1454</v>
      </c>
      <c r="D103" s="761">
        <v>41609</v>
      </c>
      <c r="E103" s="761" t="s">
        <v>53</v>
      </c>
      <c r="F103" s="439">
        <v>41575</v>
      </c>
      <c r="G103" s="14">
        <v>10</v>
      </c>
      <c r="H103" s="437">
        <v>90.56</v>
      </c>
      <c r="I103" s="502"/>
      <c r="J103" s="543">
        <v>41577</v>
      </c>
      <c r="K103" s="800">
        <v>89.9</v>
      </c>
      <c r="L103" s="763">
        <v>2.5000000000000001E-2</v>
      </c>
      <c r="M103" s="426">
        <v>10</v>
      </c>
      <c r="N103" s="764">
        <f>SUM((K103-H103)/L103*M103)*G103</f>
        <v>-2639.9999999999864</v>
      </c>
      <c r="O103" s="761" t="s">
        <v>884</v>
      </c>
      <c r="P103" s="759">
        <v>1</v>
      </c>
      <c r="Q103" s="430">
        <f t="shared" si="10"/>
        <v>-2639.9999999999864</v>
      </c>
      <c r="R103" s="774"/>
    </row>
    <row r="104" spans="1:18" s="333" customFormat="1" ht="15" customHeight="1">
      <c r="A104" s="456" t="s">
        <v>985</v>
      </c>
      <c r="B104" s="456" t="s">
        <v>738</v>
      </c>
      <c r="C104" s="456" t="s">
        <v>1456</v>
      </c>
      <c r="D104" s="786">
        <v>41609</v>
      </c>
      <c r="E104" s="786" t="s">
        <v>78</v>
      </c>
      <c r="F104" s="787">
        <v>41579</v>
      </c>
      <c r="G104" s="456">
        <v>2</v>
      </c>
      <c r="H104" s="788">
        <v>3.5339999999999998</v>
      </c>
      <c r="I104" s="789"/>
      <c r="J104" s="775" t="s">
        <v>1460</v>
      </c>
      <c r="K104" s="801">
        <v>3.548</v>
      </c>
      <c r="L104" s="790">
        <v>1E-3</v>
      </c>
      <c r="M104" s="470">
        <v>10</v>
      </c>
      <c r="N104" s="791">
        <f>SUM((H104-K104)/L104*M104)*G104</f>
        <v>-280.00000000000466</v>
      </c>
      <c r="O104" s="786" t="s">
        <v>884</v>
      </c>
      <c r="P104" s="677">
        <v>1</v>
      </c>
      <c r="Q104" s="475">
        <f t="shared" ref="Q104:Q109" si="11">SUM(N104*P104)</f>
        <v>-280.00000000000466</v>
      </c>
      <c r="R104" s="792"/>
    </row>
    <row r="105" spans="1:18" s="333" customFormat="1" ht="15" customHeight="1">
      <c r="A105" s="456" t="s">
        <v>1310</v>
      </c>
      <c r="B105" s="456" t="s">
        <v>1311</v>
      </c>
      <c r="C105" s="456" t="s">
        <v>1371</v>
      </c>
      <c r="D105" s="786">
        <v>41609</v>
      </c>
      <c r="E105" s="786" t="s">
        <v>78</v>
      </c>
      <c r="F105" s="787">
        <v>41583</v>
      </c>
      <c r="G105" s="456">
        <v>7</v>
      </c>
      <c r="H105" s="788">
        <v>424.5</v>
      </c>
      <c r="I105" s="789"/>
      <c r="J105" s="543">
        <v>41586</v>
      </c>
      <c r="K105" s="801">
        <v>426.6</v>
      </c>
      <c r="L105" s="790">
        <v>0.25</v>
      </c>
      <c r="M105" s="470">
        <v>12.5</v>
      </c>
      <c r="N105" s="791">
        <f>SUM((H105-K105)/L105*M105)*G105</f>
        <v>-735.00000000000796</v>
      </c>
      <c r="O105" s="786" t="s">
        <v>884</v>
      </c>
      <c r="P105" s="677">
        <v>1</v>
      </c>
      <c r="Q105" s="475">
        <f t="shared" si="11"/>
        <v>-735.00000000000796</v>
      </c>
      <c r="R105" s="792"/>
    </row>
    <row r="106" spans="1:18" s="327" customFormat="1" ht="15" customHeight="1">
      <c r="A106" s="14" t="s">
        <v>386</v>
      </c>
      <c r="B106" s="14" t="s">
        <v>1066</v>
      </c>
      <c r="C106" s="14" t="s">
        <v>1363</v>
      </c>
      <c r="D106" s="761">
        <v>41609</v>
      </c>
      <c r="E106" s="761" t="s">
        <v>53</v>
      </c>
      <c r="F106" s="439">
        <v>41584</v>
      </c>
      <c r="G106" s="14">
        <v>3</v>
      </c>
      <c r="H106" s="437">
        <v>76.87</v>
      </c>
      <c r="I106" s="502"/>
      <c r="J106" s="543">
        <v>41586</v>
      </c>
      <c r="K106" s="800">
        <v>75.25</v>
      </c>
      <c r="L106" s="763">
        <v>0.01</v>
      </c>
      <c r="M106" s="426">
        <v>5</v>
      </c>
      <c r="N106" s="764">
        <f>SUM((K106-H106)/L106*M106)*G106</f>
        <v>-2430.0000000000068</v>
      </c>
      <c r="O106" s="761" t="s">
        <v>884</v>
      </c>
      <c r="P106" s="759">
        <v>1</v>
      </c>
      <c r="Q106" s="430">
        <f t="shared" si="11"/>
        <v>-2430.0000000000068</v>
      </c>
      <c r="R106" s="774"/>
    </row>
    <row r="107" spans="1:18" s="333" customFormat="1" ht="15" customHeight="1">
      <c r="A107" s="456" t="s">
        <v>894</v>
      </c>
      <c r="B107" s="456" t="s">
        <v>361</v>
      </c>
      <c r="C107" s="456" t="s">
        <v>1443</v>
      </c>
      <c r="D107" s="786">
        <v>41609</v>
      </c>
      <c r="E107" s="786" t="s">
        <v>78</v>
      </c>
      <c r="F107" s="787">
        <v>41569</v>
      </c>
      <c r="G107" s="456">
        <v>4</v>
      </c>
      <c r="H107" s="788">
        <v>112.15</v>
      </c>
      <c r="I107" s="789"/>
      <c r="J107" s="543">
        <v>41589</v>
      </c>
      <c r="K107" s="801">
        <v>105.4</v>
      </c>
      <c r="L107" s="790">
        <v>0.05</v>
      </c>
      <c r="M107" s="470">
        <v>18.75</v>
      </c>
      <c r="N107" s="791">
        <f>SUM((H107-K107)/L107*M107)*G107</f>
        <v>10125</v>
      </c>
      <c r="O107" s="786" t="s">
        <v>884</v>
      </c>
      <c r="P107" s="677">
        <v>1</v>
      </c>
      <c r="Q107" s="475">
        <f t="shared" si="11"/>
        <v>10125</v>
      </c>
      <c r="R107" s="792"/>
    </row>
    <row r="108" spans="1:18" s="544" customFormat="1" ht="15" customHeight="1">
      <c r="A108" s="619" t="s">
        <v>987</v>
      </c>
      <c r="B108" s="619" t="s">
        <v>1455</v>
      </c>
      <c r="C108" s="619" t="s">
        <v>1387</v>
      </c>
      <c r="D108" s="776">
        <v>41699</v>
      </c>
      <c r="E108" s="776" t="s">
        <v>78</v>
      </c>
      <c r="F108" s="777">
        <v>41577</v>
      </c>
      <c r="G108" s="619">
        <v>7</v>
      </c>
      <c r="H108" s="778">
        <v>18.63</v>
      </c>
      <c r="I108" s="779"/>
      <c r="J108" s="804">
        <v>41597</v>
      </c>
      <c r="K108" s="780">
        <v>17.82</v>
      </c>
      <c r="L108" s="781">
        <v>0.01</v>
      </c>
      <c r="M108" s="782">
        <v>11.2</v>
      </c>
      <c r="N108" s="783">
        <f>SUM((H108-K108)/L108*M108)*G108</f>
        <v>6350.3999999999887</v>
      </c>
      <c r="O108" s="776" t="s">
        <v>884</v>
      </c>
      <c r="P108" s="784">
        <v>1</v>
      </c>
      <c r="Q108" s="807">
        <f t="shared" si="11"/>
        <v>6350.3999999999887</v>
      </c>
      <c r="R108" s="785"/>
    </row>
    <row r="109" spans="1:18" s="327" customFormat="1" ht="15" customHeight="1">
      <c r="A109" s="14" t="s">
        <v>84</v>
      </c>
      <c r="B109" s="14" t="s">
        <v>83</v>
      </c>
      <c r="C109" s="14" t="s">
        <v>1466</v>
      </c>
      <c r="D109" s="761">
        <v>41609</v>
      </c>
      <c r="E109" s="761" t="s">
        <v>53</v>
      </c>
      <c r="F109" s="439">
        <v>41592</v>
      </c>
      <c r="G109" s="14">
        <v>2</v>
      </c>
      <c r="H109" s="437">
        <v>292.58</v>
      </c>
      <c r="I109" s="502"/>
      <c r="J109" s="543">
        <v>41597</v>
      </c>
      <c r="K109" s="800">
        <v>290.2</v>
      </c>
      <c r="L109" s="763">
        <v>0.01</v>
      </c>
      <c r="M109" s="426">
        <v>4.2</v>
      </c>
      <c r="N109" s="764">
        <f>SUM((K109-H109)/L109*M109)*G109</f>
        <v>-1999.1999999999962</v>
      </c>
      <c r="O109" s="761" t="s">
        <v>884</v>
      </c>
      <c r="P109" s="759">
        <v>1</v>
      </c>
      <c r="Q109" s="430">
        <f t="shared" si="11"/>
        <v>-1999.1999999999962</v>
      </c>
      <c r="R109" s="774"/>
    </row>
    <row r="110" spans="1:18" s="333" customFormat="1" ht="15" customHeight="1">
      <c r="A110" s="456" t="s">
        <v>1372</v>
      </c>
      <c r="B110" s="456" t="s">
        <v>1373</v>
      </c>
      <c r="C110" s="456" t="s">
        <v>1482</v>
      </c>
      <c r="D110" s="786">
        <v>41640</v>
      </c>
      <c r="E110" s="786" t="s">
        <v>78</v>
      </c>
      <c r="F110" s="787">
        <v>41605</v>
      </c>
      <c r="G110" s="456">
        <v>3</v>
      </c>
      <c r="H110" s="788">
        <v>92.38</v>
      </c>
      <c r="I110" s="789"/>
      <c r="J110" s="543">
        <v>41610</v>
      </c>
      <c r="K110" s="801">
        <v>93.94</v>
      </c>
      <c r="L110" s="790">
        <v>0.01</v>
      </c>
      <c r="M110" s="470">
        <v>10</v>
      </c>
      <c r="N110" s="791">
        <f>SUM((H110-K110)/L110*M110)*G110</f>
        <v>-4680.0000000000073</v>
      </c>
      <c r="O110" s="786" t="s">
        <v>884</v>
      </c>
      <c r="P110" s="677">
        <v>1</v>
      </c>
      <c r="Q110" s="475">
        <f t="shared" ref="Q110:Q115" si="12">SUM(N110*P110)</f>
        <v>-4680.0000000000073</v>
      </c>
      <c r="R110" s="792"/>
    </row>
    <row r="111" spans="1:18" s="544" customFormat="1" ht="15" customHeight="1">
      <c r="A111" s="619" t="s">
        <v>987</v>
      </c>
      <c r="B111" s="619" t="s">
        <v>1455</v>
      </c>
      <c r="C111" s="619" t="s">
        <v>1387</v>
      </c>
      <c r="D111" s="776">
        <v>41699</v>
      </c>
      <c r="E111" s="776" t="s">
        <v>78</v>
      </c>
      <c r="F111" s="777">
        <v>41603</v>
      </c>
      <c r="G111" s="619">
        <v>7</v>
      </c>
      <c r="H111" s="778">
        <v>17.34</v>
      </c>
      <c r="I111" s="779"/>
      <c r="J111" s="804">
        <v>41628</v>
      </c>
      <c r="K111" s="780">
        <v>16.28</v>
      </c>
      <c r="L111" s="781">
        <v>0.01</v>
      </c>
      <c r="M111" s="782">
        <v>11.2</v>
      </c>
      <c r="N111" s="783">
        <f>SUM((H111-K111)/L111*M111)*G111</f>
        <v>8310.3999999999887</v>
      </c>
      <c r="O111" s="776" t="s">
        <v>884</v>
      </c>
      <c r="P111" s="784">
        <v>1</v>
      </c>
      <c r="Q111" s="807">
        <f t="shared" si="12"/>
        <v>8310.3999999999887</v>
      </c>
      <c r="R111" s="785"/>
    </row>
    <row r="112" spans="1:18" s="327" customFormat="1" ht="15" customHeight="1">
      <c r="A112" s="14" t="s">
        <v>1163</v>
      </c>
      <c r="B112" s="14" t="s">
        <v>79</v>
      </c>
      <c r="C112" s="14" t="s">
        <v>1536</v>
      </c>
      <c r="D112" s="761">
        <v>41671</v>
      </c>
      <c r="E112" s="761" t="s">
        <v>53</v>
      </c>
      <c r="F112" s="439">
        <v>41635</v>
      </c>
      <c r="G112" s="14">
        <v>4</v>
      </c>
      <c r="H112" s="437">
        <v>100.43</v>
      </c>
      <c r="I112" s="502"/>
      <c r="J112" s="543">
        <v>41638</v>
      </c>
      <c r="K112" s="800">
        <v>99.17</v>
      </c>
      <c r="L112" s="763">
        <v>0.01</v>
      </c>
      <c r="M112" s="426">
        <v>10</v>
      </c>
      <c r="N112" s="764">
        <f t="shared" ref="N112:N119" si="13">SUM((K112-H112)/L112*M112)*G112</f>
        <v>-5040.00000000002</v>
      </c>
      <c r="O112" s="761" t="s">
        <v>884</v>
      </c>
      <c r="P112" s="759">
        <v>1</v>
      </c>
      <c r="Q112" s="430">
        <f t="shared" si="12"/>
        <v>-5040.00000000002</v>
      </c>
      <c r="R112" s="774"/>
    </row>
    <row r="113" spans="1:19" s="327" customFormat="1" ht="14.25" customHeight="1">
      <c r="A113" s="14" t="s">
        <v>69</v>
      </c>
      <c r="B113" s="14" t="s">
        <v>68</v>
      </c>
      <c r="C113" s="14" t="s">
        <v>1565</v>
      </c>
      <c r="D113" s="761">
        <v>41699</v>
      </c>
      <c r="E113" s="761" t="s">
        <v>53</v>
      </c>
      <c r="F113" s="439">
        <v>41655</v>
      </c>
      <c r="G113" s="14">
        <v>9</v>
      </c>
      <c r="H113" s="437">
        <v>398.69</v>
      </c>
      <c r="I113" s="502"/>
      <c r="J113" s="543">
        <v>41662</v>
      </c>
      <c r="K113" s="775">
        <v>392.49</v>
      </c>
      <c r="L113" s="763">
        <v>0.25</v>
      </c>
      <c r="M113" s="426">
        <v>12.5</v>
      </c>
      <c r="N113" s="764">
        <f t="shared" si="13"/>
        <v>-2789.999999999995</v>
      </c>
      <c r="O113" s="761" t="s">
        <v>884</v>
      </c>
      <c r="P113" s="759">
        <v>1</v>
      </c>
      <c r="Q113" s="430">
        <f t="shared" si="12"/>
        <v>-2789.999999999995</v>
      </c>
      <c r="R113" s="774"/>
    </row>
    <row r="114" spans="1:19" s="327" customFormat="1" ht="14.25" customHeight="1">
      <c r="A114" s="14" t="s">
        <v>1566</v>
      </c>
      <c r="B114" s="14" t="s">
        <v>1567</v>
      </c>
      <c r="C114" s="14" t="s">
        <v>1568</v>
      </c>
      <c r="D114" s="761">
        <v>41699</v>
      </c>
      <c r="E114" s="761" t="s">
        <v>53</v>
      </c>
      <c r="F114" s="439">
        <v>41655</v>
      </c>
      <c r="G114" s="14">
        <v>4</v>
      </c>
      <c r="H114" s="437">
        <v>86.21</v>
      </c>
      <c r="I114" s="502"/>
      <c r="J114" s="543">
        <v>41663</v>
      </c>
      <c r="K114" s="800">
        <v>86.65</v>
      </c>
      <c r="L114" s="763">
        <v>0.01</v>
      </c>
      <c r="M114" s="426">
        <v>5</v>
      </c>
      <c r="N114" s="764">
        <f t="shared" si="13"/>
        <v>880.00000000002387</v>
      </c>
      <c r="O114" s="761" t="s">
        <v>884</v>
      </c>
      <c r="P114" s="759">
        <v>1</v>
      </c>
      <c r="Q114" s="430">
        <f t="shared" si="12"/>
        <v>880.00000000002387</v>
      </c>
      <c r="R114" s="774"/>
    </row>
    <row r="115" spans="1:19" s="327" customFormat="1" ht="14.25" customHeight="1">
      <c r="A115" s="14" t="s">
        <v>1569</v>
      </c>
      <c r="B115" s="14" t="s">
        <v>360</v>
      </c>
      <c r="C115" s="14" t="s">
        <v>1564</v>
      </c>
      <c r="D115" s="761">
        <v>41699</v>
      </c>
      <c r="E115" s="761" t="s">
        <v>53</v>
      </c>
      <c r="F115" s="439">
        <v>41649</v>
      </c>
      <c r="G115" s="14">
        <v>35</v>
      </c>
      <c r="H115" s="437">
        <v>110.36</v>
      </c>
      <c r="I115" s="502"/>
      <c r="J115" s="543">
        <v>41676</v>
      </c>
      <c r="K115" s="800">
        <v>110.58199999999999</v>
      </c>
      <c r="L115" s="763">
        <v>0.01</v>
      </c>
      <c r="M115" s="426">
        <v>10</v>
      </c>
      <c r="N115" s="764">
        <f t="shared" si="13"/>
        <v>7769.9999999997972</v>
      </c>
      <c r="O115" s="761" t="s">
        <v>379</v>
      </c>
      <c r="P115" s="759">
        <v>1.3607400000000001</v>
      </c>
      <c r="Q115" s="430">
        <f t="shared" si="12"/>
        <v>10572.949799999724</v>
      </c>
      <c r="R115" s="774"/>
    </row>
    <row r="116" spans="1:19" s="327" customFormat="1" ht="14.25" customHeight="1">
      <c r="A116" s="14" t="s">
        <v>1020</v>
      </c>
      <c r="B116" s="14" t="s">
        <v>1021</v>
      </c>
      <c r="C116" s="14" t="s">
        <v>1578</v>
      </c>
      <c r="D116" s="761">
        <v>41699</v>
      </c>
      <c r="E116" s="761" t="s">
        <v>53</v>
      </c>
      <c r="F116" s="439">
        <v>41677</v>
      </c>
      <c r="G116" s="14">
        <v>10</v>
      </c>
      <c r="H116" s="437">
        <v>2948</v>
      </c>
      <c r="I116" s="502"/>
      <c r="J116" s="775">
        <v>41681</v>
      </c>
      <c r="K116" s="800">
        <v>2912</v>
      </c>
      <c r="L116" s="763">
        <v>1</v>
      </c>
      <c r="M116" s="636">
        <v>10</v>
      </c>
      <c r="N116" s="764">
        <f t="shared" si="13"/>
        <v>-3600</v>
      </c>
      <c r="O116" s="761" t="s">
        <v>685</v>
      </c>
      <c r="P116" s="759">
        <v>1</v>
      </c>
      <c r="Q116" s="430">
        <f>SUM(N116*P116)</f>
        <v>-3600</v>
      </c>
      <c r="R116" s="774"/>
    </row>
    <row r="117" spans="1:19" s="327" customFormat="1" ht="14.25" customHeight="1">
      <c r="A117" s="14" t="s">
        <v>107</v>
      </c>
      <c r="B117" s="14" t="s">
        <v>106</v>
      </c>
      <c r="C117" s="14" t="s">
        <v>1571</v>
      </c>
      <c r="D117" s="761">
        <v>41699</v>
      </c>
      <c r="E117" s="761" t="s">
        <v>53</v>
      </c>
      <c r="F117" s="439">
        <v>41673</v>
      </c>
      <c r="G117" s="14">
        <v>2</v>
      </c>
      <c r="H117" s="437">
        <v>1297.5</v>
      </c>
      <c r="I117" s="502"/>
      <c r="J117" s="775">
        <v>41681</v>
      </c>
      <c r="K117" s="800">
        <v>1315</v>
      </c>
      <c r="L117" s="763">
        <v>1</v>
      </c>
      <c r="M117" s="636">
        <v>10</v>
      </c>
      <c r="N117" s="764">
        <f t="shared" si="13"/>
        <v>350</v>
      </c>
      <c r="O117" s="761" t="s">
        <v>884</v>
      </c>
      <c r="P117" s="759">
        <v>1</v>
      </c>
      <c r="Q117" s="430">
        <f>SUM(N117*P117)</f>
        <v>350</v>
      </c>
      <c r="R117" s="774"/>
    </row>
    <row r="118" spans="1:19" s="327" customFormat="1" ht="14.25" customHeight="1">
      <c r="A118" s="14" t="s">
        <v>1178</v>
      </c>
      <c r="B118" s="14" t="s">
        <v>1177</v>
      </c>
      <c r="C118" s="14" t="s">
        <v>1572</v>
      </c>
      <c r="D118" s="761">
        <v>41699</v>
      </c>
      <c r="E118" s="761" t="s">
        <v>53</v>
      </c>
      <c r="F118" s="439">
        <v>41698</v>
      </c>
      <c r="G118" s="14">
        <v>4</v>
      </c>
      <c r="H118" s="437">
        <v>445.8</v>
      </c>
      <c r="I118" s="502"/>
      <c r="J118" s="775">
        <v>41681</v>
      </c>
      <c r="K118" s="800">
        <v>438.3</v>
      </c>
      <c r="L118" s="763">
        <v>0.1</v>
      </c>
      <c r="M118" s="636">
        <v>10</v>
      </c>
      <c r="N118" s="764">
        <f t="shared" si="13"/>
        <v>-3000</v>
      </c>
      <c r="O118" s="761" t="s">
        <v>884</v>
      </c>
      <c r="P118" s="759">
        <v>1</v>
      </c>
      <c r="Q118" s="430">
        <f>SUM(N118*P118)</f>
        <v>-3000</v>
      </c>
      <c r="R118" s="774"/>
    </row>
    <row r="119" spans="1:19" s="327" customFormat="1" ht="14.25" customHeight="1">
      <c r="A119" s="14" t="s">
        <v>1163</v>
      </c>
      <c r="B119" s="14" t="s">
        <v>79</v>
      </c>
      <c r="C119" s="14" t="s">
        <v>1577</v>
      </c>
      <c r="D119" s="761">
        <v>41699</v>
      </c>
      <c r="E119" s="761" t="s">
        <v>53</v>
      </c>
      <c r="F119" s="439">
        <v>41677</v>
      </c>
      <c r="G119" s="14">
        <v>3</v>
      </c>
      <c r="H119" s="437">
        <v>99.36</v>
      </c>
      <c r="I119" s="502"/>
      <c r="J119" s="775">
        <v>41683</v>
      </c>
      <c r="K119" s="800">
        <v>100.37</v>
      </c>
      <c r="L119" s="763">
        <v>1</v>
      </c>
      <c r="M119" s="636">
        <v>10</v>
      </c>
      <c r="N119" s="764">
        <f t="shared" si="13"/>
        <v>30.300000000000153</v>
      </c>
      <c r="O119" s="761" t="s">
        <v>884</v>
      </c>
      <c r="P119" s="759">
        <v>1</v>
      </c>
      <c r="Q119" s="430">
        <f>SUM(N119*P119)</f>
        <v>30.300000000000153</v>
      </c>
      <c r="R119" s="774"/>
    </row>
    <row r="120" spans="1:19" s="327" customFormat="1" ht="14.25" customHeight="1">
      <c r="A120" s="14" t="s">
        <v>1</v>
      </c>
      <c r="B120" s="14" t="s">
        <v>2</v>
      </c>
      <c r="C120" s="14" t="s">
        <v>1576</v>
      </c>
      <c r="D120" s="761">
        <v>41730</v>
      </c>
      <c r="E120" s="761" t="s">
        <v>53</v>
      </c>
      <c r="F120" s="439">
        <v>41677</v>
      </c>
      <c r="G120" s="14">
        <v>4</v>
      </c>
      <c r="H120" s="437">
        <v>108.35</v>
      </c>
      <c r="I120" s="502"/>
      <c r="J120" s="775">
        <v>41684</v>
      </c>
      <c r="K120" s="800">
        <v>108.85</v>
      </c>
      <c r="L120" s="763">
        <v>1</v>
      </c>
      <c r="M120" s="636">
        <v>10</v>
      </c>
      <c r="N120" s="764">
        <f>SUM((K120-H120)/L120*M120)*G120</f>
        <v>20</v>
      </c>
      <c r="O120" s="761" t="s">
        <v>884</v>
      </c>
      <c r="P120" s="759">
        <v>1</v>
      </c>
      <c r="Q120" s="430">
        <f t="shared" ref="Q120:Q121" si="14">SUM(N120*P120)</f>
        <v>20</v>
      </c>
      <c r="R120" s="774"/>
    </row>
    <row r="121" spans="1:19" s="544" customFormat="1" ht="15" customHeight="1">
      <c r="A121" s="619" t="s">
        <v>1573</v>
      </c>
      <c r="B121" s="619" t="s">
        <v>100</v>
      </c>
      <c r="C121" s="619" t="s">
        <v>1574</v>
      </c>
      <c r="D121" s="776">
        <v>41699</v>
      </c>
      <c r="E121" s="776" t="s">
        <v>78</v>
      </c>
      <c r="F121" s="777">
        <v>41676</v>
      </c>
      <c r="G121" s="619">
        <v>3</v>
      </c>
      <c r="H121" s="778">
        <v>128.06</v>
      </c>
      <c r="I121" s="779"/>
      <c r="J121" s="780">
        <v>41684</v>
      </c>
      <c r="K121" s="780">
        <v>127.6</v>
      </c>
      <c r="L121" s="781">
        <v>0.02</v>
      </c>
      <c r="M121" s="806">
        <v>20</v>
      </c>
      <c r="N121" s="783">
        <f>SUM((H121-K121)/L121*M121)*G121</f>
        <v>1380.0000000000239</v>
      </c>
      <c r="O121" s="776" t="s">
        <v>379</v>
      </c>
      <c r="P121" s="784">
        <v>1.3601000000000001</v>
      </c>
      <c r="Q121" s="807">
        <f t="shared" si="14"/>
        <v>1876.9380000000326</v>
      </c>
      <c r="R121" s="785"/>
    </row>
    <row r="122" spans="1:19" s="327" customFormat="1" ht="14.25" customHeight="1">
      <c r="A122" s="14" t="s">
        <v>63</v>
      </c>
      <c r="B122" s="14" t="s">
        <v>62</v>
      </c>
      <c r="C122" s="14" t="s">
        <v>1592</v>
      </c>
      <c r="D122" s="761">
        <v>41730</v>
      </c>
      <c r="E122" s="761" t="s">
        <v>53</v>
      </c>
      <c r="F122" s="439">
        <v>41684</v>
      </c>
      <c r="G122" s="14">
        <v>9</v>
      </c>
      <c r="H122" s="437">
        <v>95.65</v>
      </c>
      <c r="I122" s="502"/>
      <c r="J122" s="775">
        <v>41690</v>
      </c>
      <c r="K122" s="800">
        <v>97.01</v>
      </c>
      <c r="L122" s="763">
        <v>2.5000000000000001E-2</v>
      </c>
      <c r="M122" s="636">
        <v>10</v>
      </c>
      <c r="N122" s="764">
        <f>SUM((K122-H122)/L122*M122)*G122</f>
        <v>4895.9999999999982</v>
      </c>
      <c r="O122" s="761" t="s">
        <v>884</v>
      </c>
      <c r="P122" s="759">
        <v>1</v>
      </c>
      <c r="Q122" s="430">
        <f t="shared" ref="Q122:Q127" si="15">SUM(N122*P122)</f>
        <v>4895.9999999999982</v>
      </c>
      <c r="R122" s="774"/>
    </row>
    <row r="123" spans="1:19" s="544" customFormat="1" ht="15" customHeight="1">
      <c r="A123" s="619" t="s">
        <v>71</v>
      </c>
      <c r="B123" s="619" t="s">
        <v>70</v>
      </c>
      <c r="C123" s="619" t="s">
        <v>1602</v>
      </c>
      <c r="D123" s="776">
        <v>41730</v>
      </c>
      <c r="E123" s="776" t="s">
        <v>78</v>
      </c>
      <c r="F123" s="777">
        <v>41705</v>
      </c>
      <c r="G123" s="619">
        <v>5</v>
      </c>
      <c r="H123" s="778">
        <v>318.25</v>
      </c>
      <c r="I123" s="779"/>
      <c r="J123" s="804">
        <v>41711</v>
      </c>
      <c r="K123" s="780">
        <v>295</v>
      </c>
      <c r="L123" s="781">
        <v>0.05</v>
      </c>
      <c r="M123" s="806">
        <v>12.5</v>
      </c>
      <c r="N123" s="783">
        <f>SUM((H123-K123)/L123*M123)*G123</f>
        <v>29062.5</v>
      </c>
      <c r="O123" s="776" t="s">
        <v>884</v>
      </c>
      <c r="P123" s="784">
        <v>1</v>
      </c>
      <c r="Q123" s="807">
        <f t="shared" si="15"/>
        <v>29062.5</v>
      </c>
      <c r="R123" s="785"/>
    </row>
    <row r="124" spans="1:19" s="544" customFormat="1" ht="15" customHeight="1">
      <c r="A124" s="619" t="s">
        <v>1310</v>
      </c>
      <c r="B124" s="619" t="s">
        <v>976</v>
      </c>
      <c r="C124" s="619" t="s">
        <v>1605</v>
      </c>
      <c r="D124" s="776">
        <v>41760</v>
      </c>
      <c r="E124" s="776" t="s">
        <v>78</v>
      </c>
      <c r="F124" s="777">
        <v>41708</v>
      </c>
      <c r="G124" s="619">
        <v>10</v>
      </c>
      <c r="H124" s="778">
        <v>479.1</v>
      </c>
      <c r="I124" s="779"/>
      <c r="J124" s="804">
        <v>41711</v>
      </c>
      <c r="K124" s="780">
        <v>489.5</v>
      </c>
      <c r="L124" s="781">
        <v>0.25</v>
      </c>
      <c r="M124" s="806">
        <v>12.5</v>
      </c>
      <c r="N124" s="783">
        <f>SUM((H124-K124)/L124*M124)*G124</f>
        <v>-5199.9999999999891</v>
      </c>
      <c r="O124" s="776" t="s">
        <v>884</v>
      </c>
      <c r="P124" s="784">
        <v>1</v>
      </c>
      <c r="Q124" s="807">
        <f t="shared" si="15"/>
        <v>-5199.9999999999891</v>
      </c>
      <c r="R124" s="785"/>
    </row>
    <row r="125" spans="1:19" s="544" customFormat="1" ht="15" customHeight="1">
      <c r="A125" s="619" t="s">
        <v>107</v>
      </c>
      <c r="B125" s="619" t="s">
        <v>1612</v>
      </c>
      <c r="C125" s="619" t="s">
        <v>1613</v>
      </c>
      <c r="D125" s="776">
        <v>41760</v>
      </c>
      <c r="E125" s="776" t="s">
        <v>78</v>
      </c>
      <c r="F125" s="777">
        <v>40544</v>
      </c>
      <c r="G125" s="619">
        <v>4</v>
      </c>
      <c r="H125" s="778">
        <v>1401.5</v>
      </c>
      <c r="I125" s="779"/>
      <c r="J125" s="804">
        <v>41716</v>
      </c>
      <c r="K125" s="780">
        <v>1415</v>
      </c>
      <c r="L125" s="781">
        <v>0.25</v>
      </c>
      <c r="M125" s="806">
        <v>12.5</v>
      </c>
      <c r="N125" s="783">
        <f>SUM((H125-K125)/L125*M125)*G125</f>
        <v>-2700</v>
      </c>
      <c r="O125" s="776" t="s">
        <v>884</v>
      </c>
      <c r="P125" s="784">
        <v>1</v>
      </c>
      <c r="Q125" s="807">
        <f t="shared" si="15"/>
        <v>-2700</v>
      </c>
      <c r="R125" s="785"/>
    </row>
    <row r="126" spans="1:19" s="327" customFormat="1" ht="14.25" customHeight="1">
      <c r="A126" s="619" t="s">
        <v>63</v>
      </c>
      <c r="B126" s="619" t="s">
        <v>62</v>
      </c>
      <c r="C126" s="619" t="s">
        <v>1592</v>
      </c>
      <c r="D126" s="776">
        <v>41730</v>
      </c>
      <c r="E126" s="776" t="s">
        <v>78</v>
      </c>
      <c r="F126" s="777">
        <v>41723</v>
      </c>
      <c r="G126" s="619">
        <v>12</v>
      </c>
      <c r="H126" s="778">
        <v>123.3</v>
      </c>
      <c r="I126" s="779"/>
      <c r="J126" s="543">
        <v>41725</v>
      </c>
      <c r="K126" s="780">
        <v>125.09</v>
      </c>
      <c r="L126" s="781">
        <v>0.05</v>
      </c>
      <c r="M126" s="806">
        <v>10</v>
      </c>
      <c r="N126" s="783">
        <f>SUM((H126-K126)/L126*M126)*G126</f>
        <v>-4296.0000000000146</v>
      </c>
      <c r="O126" s="776" t="s">
        <v>884</v>
      </c>
      <c r="P126" s="784">
        <v>1</v>
      </c>
      <c r="Q126" s="807">
        <f t="shared" si="15"/>
        <v>-4296.0000000000146</v>
      </c>
      <c r="R126" s="785"/>
      <c r="S126" s="544"/>
    </row>
    <row r="127" spans="1:19" s="544" customFormat="1" ht="15" customHeight="1">
      <c r="A127" s="619" t="s">
        <v>985</v>
      </c>
      <c r="B127" s="619" t="s">
        <v>738</v>
      </c>
      <c r="C127" s="619" t="s">
        <v>1619</v>
      </c>
      <c r="D127" s="776">
        <v>41730</v>
      </c>
      <c r="E127" s="776" t="s">
        <v>78</v>
      </c>
      <c r="F127" s="777">
        <v>41718</v>
      </c>
      <c r="G127" s="619">
        <v>3</v>
      </c>
      <c r="H127" s="778">
        <v>4.3410000000000002</v>
      </c>
      <c r="I127" s="779"/>
      <c r="J127" s="543">
        <v>41725</v>
      </c>
      <c r="K127" s="780">
        <v>4.444</v>
      </c>
      <c r="L127" s="781">
        <v>1E-3</v>
      </c>
      <c r="M127" s="806">
        <v>10</v>
      </c>
      <c r="N127" s="783">
        <f>SUM((H127-K127)/L127*M127)*G127</f>
        <v>-3089.9999999999927</v>
      </c>
      <c r="O127" s="776" t="s">
        <v>884</v>
      </c>
      <c r="P127" s="784">
        <v>1</v>
      </c>
      <c r="Q127" s="807">
        <f t="shared" si="15"/>
        <v>-3089.9999999999927</v>
      </c>
      <c r="R127" s="785"/>
    </row>
    <row r="128" spans="1:19" s="544" customFormat="1" ht="15" customHeight="1">
      <c r="A128" s="14" t="s">
        <v>1163</v>
      </c>
      <c r="B128" s="14" t="s">
        <v>79</v>
      </c>
      <c r="C128" s="14" t="s">
        <v>1625</v>
      </c>
      <c r="D128" s="761">
        <v>41760</v>
      </c>
      <c r="E128" s="761" t="s">
        <v>53</v>
      </c>
      <c r="F128" s="439">
        <v>41719</v>
      </c>
      <c r="G128" s="14">
        <v>2</v>
      </c>
      <c r="H128" s="437">
        <v>99.78</v>
      </c>
      <c r="I128" s="502"/>
      <c r="J128" s="543">
        <v>41730</v>
      </c>
      <c r="K128" s="800">
        <v>100</v>
      </c>
      <c r="L128" s="763">
        <v>0.01</v>
      </c>
      <c r="M128" s="636">
        <v>10</v>
      </c>
      <c r="N128" s="764">
        <f>SUM((K128-H128)/L128*M128)*G128</f>
        <v>439.99999999999773</v>
      </c>
      <c r="O128" s="761" t="s">
        <v>884</v>
      </c>
      <c r="P128" s="759">
        <v>1</v>
      </c>
      <c r="Q128" s="430">
        <f t="shared" ref="Q128:Q134" si="16">SUM(N128*P128)</f>
        <v>439.99999999999773</v>
      </c>
      <c r="R128" s="774"/>
      <c r="S128" s="327"/>
    </row>
    <row r="129" spans="1:20" s="327" customFormat="1" ht="14.25" customHeight="1">
      <c r="A129" s="14" t="s">
        <v>1174</v>
      </c>
      <c r="B129" s="14" t="s">
        <v>389</v>
      </c>
      <c r="C129" s="14" t="s">
        <v>1636</v>
      </c>
      <c r="D129" s="761">
        <v>41760</v>
      </c>
      <c r="E129" s="761" t="s">
        <v>53</v>
      </c>
      <c r="F129" s="439">
        <v>41730</v>
      </c>
      <c r="G129" s="14">
        <v>3</v>
      </c>
      <c r="H129" s="437">
        <v>341.9</v>
      </c>
      <c r="I129" s="502"/>
      <c r="J129" s="543">
        <v>41732</v>
      </c>
      <c r="K129" s="800">
        <v>333.1</v>
      </c>
      <c r="L129" s="763">
        <v>0.1</v>
      </c>
      <c r="M129" s="636">
        <v>11</v>
      </c>
      <c r="N129" s="764">
        <f>SUM((K129-H129)/L129*M129)*G129</f>
        <v>-2903.999999999985</v>
      </c>
      <c r="O129" s="761" t="s">
        <v>884</v>
      </c>
      <c r="P129" s="759">
        <v>1</v>
      </c>
      <c r="Q129" s="430">
        <f t="shared" si="16"/>
        <v>-2903.999999999985</v>
      </c>
      <c r="R129" s="774"/>
    </row>
    <row r="130" spans="1:20" s="327" customFormat="1" ht="14.25" customHeight="1">
      <c r="A130" s="14" t="s">
        <v>1063</v>
      </c>
      <c r="B130" s="14" t="s">
        <v>70</v>
      </c>
      <c r="C130" s="14" t="s">
        <v>1628</v>
      </c>
      <c r="D130" s="761">
        <v>41760</v>
      </c>
      <c r="E130" s="761" t="s">
        <v>53</v>
      </c>
      <c r="F130" s="439">
        <v>41726</v>
      </c>
      <c r="G130" s="14">
        <v>2</v>
      </c>
      <c r="H130" s="437">
        <v>303</v>
      </c>
      <c r="I130" s="502"/>
      <c r="J130" s="543">
        <v>41732</v>
      </c>
      <c r="K130" s="800">
        <v>303.10000000000002</v>
      </c>
      <c r="L130" s="763">
        <v>0.05</v>
      </c>
      <c r="M130" s="636">
        <v>12.5</v>
      </c>
      <c r="N130" s="764">
        <f>SUM((K130-H130)/L130*M130)*G130</f>
        <v>50.000000000011369</v>
      </c>
      <c r="O130" s="761" t="s">
        <v>884</v>
      </c>
      <c r="P130" s="759">
        <v>1</v>
      </c>
      <c r="Q130" s="430">
        <f t="shared" si="16"/>
        <v>50.000000000011369</v>
      </c>
      <c r="R130" s="774"/>
    </row>
    <row r="131" spans="1:20" s="544" customFormat="1" ht="15" customHeight="1">
      <c r="A131" s="619" t="s">
        <v>1063</v>
      </c>
      <c r="B131" s="619" t="s">
        <v>70</v>
      </c>
      <c r="C131" s="619" t="s">
        <v>1628</v>
      </c>
      <c r="D131" s="776">
        <v>41760</v>
      </c>
      <c r="E131" s="776" t="s">
        <v>78</v>
      </c>
      <c r="F131" s="777">
        <v>41737</v>
      </c>
      <c r="G131" s="619">
        <v>5</v>
      </c>
      <c r="H131" s="778">
        <v>298.14999999999998</v>
      </c>
      <c r="I131" s="779"/>
      <c r="J131" s="543">
        <v>41859</v>
      </c>
      <c r="K131" s="780">
        <v>303.45</v>
      </c>
      <c r="L131" s="781">
        <v>0.05</v>
      </c>
      <c r="M131" s="806">
        <v>12.5</v>
      </c>
      <c r="N131" s="783">
        <f>SUM((H131-K131)/L131*M131)*G131</f>
        <v>-6625.0000000000136</v>
      </c>
      <c r="O131" s="776" t="s">
        <v>884</v>
      </c>
      <c r="P131" s="784">
        <v>1</v>
      </c>
      <c r="Q131" s="807">
        <f t="shared" si="16"/>
        <v>-6625.0000000000136</v>
      </c>
      <c r="R131" s="785"/>
    </row>
    <row r="132" spans="1:20" s="544" customFormat="1" ht="15" customHeight="1">
      <c r="A132" s="619" t="s">
        <v>1638</v>
      </c>
      <c r="B132" s="619" t="s">
        <v>83</v>
      </c>
      <c r="C132" s="619" t="s">
        <v>1640</v>
      </c>
      <c r="D132" s="776">
        <v>41760</v>
      </c>
      <c r="E132" s="776" t="s">
        <v>78</v>
      </c>
      <c r="F132" s="777">
        <v>41731</v>
      </c>
      <c r="G132" s="619">
        <v>2</v>
      </c>
      <c r="H132" s="778">
        <v>285.60000000000002</v>
      </c>
      <c r="I132" s="779"/>
      <c r="J132" s="543">
        <v>41737</v>
      </c>
      <c r="K132" s="780">
        <v>283.10000000000002</v>
      </c>
      <c r="L132" s="781">
        <v>0.01</v>
      </c>
      <c r="M132" s="806">
        <v>4.2</v>
      </c>
      <c r="N132" s="783">
        <f>SUM((H132-K132)/L132*M132)*G132</f>
        <v>2100</v>
      </c>
      <c r="O132" s="776" t="s">
        <v>884</v>
      </c>
      <c r="P132" s="784">
        <v>1</v>
      </c>
      <c r="Q132" s="807">
        <f t="shared" si="16"/>
        <v>2100</v>
      </c>
      <c r="R132" s="785"/>
    </row>
    <row r="133" spans="1:20" s="327" customFormat="1" ht="14.25" customHeight="1">
      <c r="A133" s="619" t="s">
        <v>676</v>
      </c>
      <c r="B133" s="619" t="s">
        <v>1643</v>
      </c>
      <c r="C133" s="619" t="s">
        <v>1644</v>
      </c>
      <c r="D133" s="776">
        <v>41791</v>
      </c>
      <c r="E133" s="776" t="s">
        <v>78</v>
      </c>
      <c r="F133" s="777">
        <v>41736</v>
      </c>
      <c r="G133" s="619">
        <v>4</v>
      </c>
      <c r="H133" s="778">
        <v>6547</v>
      </c>
      <c r="I133" s="779"/>
      <c r="J133" s="543">
        <v>41738</v>
      </c>
      <c r="K133" s="780">
        <v>6605</v>
      </c>
      <c r="L133" s="781">
        <v>0.5</v>
      </c>
      <c r="M133" s="806">
        <v>5</v>
      </c>
      <c r="N133" s="783">
        <f>SUM((H133-K133)/L133*M133)*G133</f>
        <v>-2320</v>
      </c>
      <c r="O133" s="776" t="s">
        <v>380</v>
      </c>
      <c r="P133" s="784">
        <v>1.6608000000000001</v>
      </c>
      <c r="Q133" s="807">
        <f t="shared" si="16"/>
        <v>-3853.056</v>
      </c>
      <c r="R133" s="785"/>
      <c r="S133" s="544"/>
      <c r="T133" s="544"/>
    </row>
    <row r="134" spans="1:20" s="327" customFormat="1" ht="14.25" customHeight="1">
      <c r="A134" s="619" t="s">
        <v>63</v>
      </c>
      <c r="B134" s="619" t="s">
        <v>62</v>
      </c>
      <c r="C134" s="619" t="s">
        <v>1592</v>
      </c>
      <c r="D134" s="776">
        <v>41730</v>
      </c>
      <c r="E134" s="776" t="s">
        <v>78</v>
      </c>
      <c r="F134" s="777">
        <v>41729</v>
      </c>
      <c r="G134" s="619">
        <v>4</v>
      </c>
      <c r="H134" s="778">
        <v>126.57</v>
      </c>
      <c r="I134" s="779"/>
      <c r="J134" s="543">
        <v>41739</v>
      </c>
      <c r="K134" s="780">
        <v>121.8</v>
      </c>
      <c r="L134" s="781">
        <v>2.5000000000000001E-2</v>
      </c>
      <c r="M134" s="806">
        <v>10</v>
      </c>
      <c r="N134" s="783">
        <f>SUM((H134-K134)/L134*M134)*G134</f>
        <v>7631.9999999999936</v>
      </c>
      <c r="O134" s="776" t="s">
        <v>884</v>
      </c>
      <c r="P134" s="784">
        <v>1</v>
      </c>
      <c r="Q134" s="807">
        <f t="shared" si="16"/>
        <v>7631.9999999999936</v>
      </c>
      <c r="R134" s="785"/>
      <c r="S134" s="544"/>
    </row>
    <row r="135" spans="1:20" s="544" customFormat="1" ht="15" customHeight="1">
      <c r="A135" s="14" t="s">
        <v>894</v>
      </c>
      <c r="B135" s="14" t="s">
        <v>361</v>
      </c>
      <c r="C135" s="14" t="s">
        <v>1621</v>
      </c>
      <c r="D135" s="761">
        <v>41760</v>
      </c>
      <c r="E135" s="761" t="s">
        <v>53</v>
      </c>
      <c r="F135" s="439">
        <v>41733</v>
      </c>
      <c r="G135" s="14">
        <v>1</v>
      </c>
      <c r="H135" s="437">
        <v>183.4</v>
      </c>
      <c r="I135" s="502"/>
      <c r="J135" s="543">
        <v>41743</v>
      </c>
      <c r="K135" s="800">
        <v>195</v>
      </c>
      <c r="L135" s="763">
        <v>0.05</v>
      </c>
      <c r="M135" s="636">
        <v>18.75</v>
      </c>
      <c r="N135" s="764">
        <f>SUM((K135-H135)/L135*M135)*G135</f>
        <v>4349.9999999999982</v>
      </c>
      <c r="O135" s="761" t="s">
        <v>884</v>
      </c>
      <c r="P135" s="759">
        <v>1</v>
      </c>
      <c r="Q135" s="430">
        <f t="shared" ref="Q135:Q144" si="17">SUM(N135*P135)</f>
        <v>4349.9999999999982</v>
      </c>
      <c r="R135" s="774"/>
      <c r="S135" s="327"/>
      <c r="T135" s="327"/>
    </row>
    <row r="136" spans="1:20" s="327" customFormat="1" ht="14.25" customHeight="1">
      <c r="A136" s="14" t="s">
        <v>1174</v>
      </c>
      <c r="B136" s="14" t="s">
        <v>389</v>
      </c>
      <c r="C136" s="14" t="s">
        <v>1636</v>
      </c>
      <c r="D136" s="761">
        <v>41760</v>
      </c>
      <c r="E136" s="761" t="s">
        <v>53</v>
      </c>
      <c r="F136" s="439">
        <v>41738</v>
      </c>
      <c r="G136" s="14">
        <v>6</v>
      </c>
      <c r="H136" s="437">
        <v>335.2</v>
      </c>
      <c r="I136" s="502"/>
      <c r="J136" s="543">
        <v>41743</v>
      </c>
      <c r="K136" s="800">
        <v>324.5</v>
      </c>
      <c r="L136" s="763">
        <v>0.1</v>
      </c>
      <c r="M136" s="636">
        <v>11</v>
      </c>
      <c r="N136" s="764">
        <f>SUM((K136-H136)/L136*M136)*G136</f>
        <v>-7061.9999999999918</v>
      </c>
      <c r="O136" s="761" t="s">
        <v>884</v>
      </c>
      <c r="P136" s="759">
        <v>1</v>
      </c>
      <c r="Q136" s="430">
        <f t="shared" si="17"/>
        <v>-7061.9999999999918</v>
      </c>
      <c r="R136" s="774"/>
      <c r="T136" s="544"/>
    </row>
    <row r="137" spans="1:20" s="456" customFormat="1" ht="15" customHeight="1">
      <c r="A137" s="619" t="s">
        <v>46</v>
      </c>
      <c r="B137" s="619" t="s">
        <v>981</v>
      </c>
      <c r="C137" s="619" t="s">
        <v>1639</v>
      </c>
      <c r="D137" s="776">
        <v>41760</v>
      </c>
      <c r="E137" s="776" t="s">
        <v>78</v>
      </c>
      <c r="F137" s="777">
        <v>41731</v>
      </c>
      <c r="G137" s="619">
        <v>3</v>
      </c>
      <c r="H137" s="778">
        <v>676.25</v>
      </c>
      <c r="I137" s="779"/>
      <c r="J137" s="543">
        <v>41743</v>
      </c>
      <c r="K137" s="780">
        <v>678.9</v>
      </c>
      <c r="L137" s="781">
        <v>0.25</v>
      </c>
      <c r="M137" s="806">
        <v>12.5</v>
      </c>
      <c r="N137" s="783">
        <f>SUM((H137-K137)/L137*M137)*G137</f>
        <v>-397.49999999999659</v>
      </c>
      <c r="O137" s="776" t="s">
        <v>884</v>
      </c>
      <c r="P137" s="784">
        <v>1</v>
      </c>
      <c r="Q137" s="807">
        <f t="shared" si="17"/>
        <v>-397.49999999999659</v>
      </c>
      <c r="R137" s="785"/>
      <c r="S137" s="544"/>
      <c r="T137" s="327"/>
    </row>
    <row r="138" spans="1:20" s="544" customFormat="1" ht="15" customHeight="1">
      <c r="A138" s="14" t="s">
        <v>1</v>
      </c>
      <c r="B138" s="14" t="s">
        <v>2</v>
      </c>
      <c r="C138" s="14" t="s">
        <v>1648</v>
      </c>
      <c r="D138" s="761">
        <v>41791</v>
      </c>
      <c r="E138" s="761" t="s">
        <v>53</v>
      </c>
      <c r="F138" s="439">
        <v>41737</v>
      </c>
      <c r="G138" s="14">
        <v>2</v>
      </c>
      <c r="H138" s="437">
        <v>106.94</v>
      </c>
      <c r="I138" s="502"/>
      <c r="J138" s="543">
        <v>41751</v>
      </c>
      <c r="K138" s="800">
        <v>108.6</v>
      </c>
      <c r="L138" s="763">
        <v>0.01</v>
      </c>
      <c r="M138" s="636">
        <v>10</v>
      </c>
      <c r="N138" s="764">
        <f>SUM((K138-H138)/L138*M138)*G138</f>
        <v>3319.9999999999932</v>
      </c>
      <c r="O138" s="761" t="s">
        <v>884</v>
      </c>
      <c r="P138" s="759">
        <v>1</v>
      </c>
      <c r="Q138" s="430">
        <f t="shared" si="17"/>
        <v>3319.9999999999932</v>
      </c>
      <c r="R138" s="774"/>
      <c r="S138" s="327"/>
    </row>
    <row r="139" spans="1:20" s="544" customFormat="1" ht="15" customHeight="1">
      <c r="A139" s="14" t="s">
        <v>1286</v>
      </c>
      <c r="B139" s="14" t="s">
        <v>921</v>
      </c>
      <c r="C139" s="14" t="s">
        <v>1649</v>
      </c>
      <c r="D139" s="761">
        <v>41760</v>
      </c>
      <c r="E139" s="761" t="s">
        <v>53</v>
      </c>
      <c r="F139" s="439">
        <v>41738</v>
      </c>
      <c r="G139" s="14">
        <v>6</v>
      </c>
      <c r="H139" s="437">
        <v>42.78</v>
      </c>
      <c r="I139" s="502"/>
      <c r="J139" s="543">
        <v>41752</v>
      </c>
      <c r="K139" s="800">
        <v>42.23</v>
      </c>
      <c r="L139" s="763">
        <v>0.01</v>
      </c>
      <c r="M139" s="636">
        <v>6</v>
      </c>
      <c r="N139" s="764">
        <f>SUM((K139-H139)/L139*M139)*G139</f>
        <v>-1980.0000000000155</v>
      </c>
      <c r="O139" s="761" t="s">
        <v>884</v>
      </c>
      <c r="P139" s="759">
        <v>1</v>
      </c>
      <c r="Q139" s="430">
        <f t="shared" si="17"/>
        <v>-1980.0000000000155</v>
      </c>
      <c r="R139" s="774"/>
      <c r="S139" s="327"/>
    </row>
    <row r="140" spans="1:20" s="327" customFormat="1" ht="14.25" customHeight="1">
      <c r="A140" s="456" t="s">
        <v>1310</v>
      </c>
      <c r="B140" s="456" t="s">
        <v>976</v>
      </c>
      <c r="C140" s="456" t="s">
        <v>1659</v>
      </c>
      <c r="D140" s="786">
        <v>41821</v>
      </c>
      <c r="E140" s="875" t="s">
        <v>78</v>
      </c>
      <c r="F140" s="505">
        <v>41739</v>
      </c>
      <c r="G140" s="484">
        <v>5</v>
      </c>
      <c r="H140" s="801">
        <v>500.25</v>
      </c>
      <c r="I140" s="789"/>
      <c r="J140" s="543">
        <v>41752</v>
      </c>
      <c r="K140" s="801">
        <v>508.8</v>
      </c>
      <c r="L140" s="790">
        <v>0.25</v>
      </c>
      <c r="M140" s="651">
        <v>12.5</v>
      </c>
      <c r="N140" s="791">
        <f>SUM((H140-K140)/L140*M140)*G140</f>
        <v>-2137.5000000000027</v>
      </c>
      <c r="O140" s="760" t="s">
        <v>884</v>
      </c>
      <c r="P140" s="677">
        <v>1</v>
      </c>
      <c r="Q140" s="475">
        <f t="shared" si="17"/>
        <v>-2137.5000000000027</v>
      </c>
      <c r="R140" s="542"/>
      <c r="S140" s="11"/>
      <c r="T140" s="456"/>
    </row>
    <row r="141" spans="1:20" s="327" customFormat="1" ht="14.25" customHeight="1">
      <c r="A141" s="456" t="s">
        <v>1603</v>
      </c>
      <c r="B141" s="456" t="s">
        <v>1066</v>
      </c>
      <c r="C141" s="456" t="s">
        <v>1660</v>
      </c>
      <c r="D141" s="786">
        <v>40919</v>
      </c>
      <c r="E141" s="786" t="s">
        <v>78</v>
      </c>
      <c r="F141" s="505">
        <v>41739</v>
      </c>
      <c r="G141" s="484">
        <v>2</v>
      </c>
      <c r="H141" s="801">
        <v>89.67</v>
      </c>
      <c r="I141" s="789"/>
      <c r="J141" s="543">
        <v>41752</v>
      </c>
      <c r="K141" s="801">
        <v>92.64</v>
      </c>
      <c r="L141" s="790">
        <v>0.01</v>
      </c>
      <c r="M141" s="651">
        <v>5</v>
      </c>
      <c r="N141" s="791">
        <f>SUM((H141-K141)/L141*M141)*G141</f>
        <v>-2969.9999999999991</v>
      </c>
      <c r="O141" s="760" t="s">
        <v>884</v>
      </c>
      <c r="P141" s="677">
        <v>1</v>
      </c>
      <c r="Q141" s="475">
        <f t="shared" si="17"/>
        <v>-2969.9999999999991</v>
      </c>
      <c r="R141" s="542"/>
      <c r="S141" s="11"/>
      <c r="T141" s="456"/>
    </row>
    <row r="142" spans="1:20" s="544" customFormat="1" ht="15" customHeight="1">
      <c r="A142" s="619" t="s">
        <v>1587</v>
      </c>
      <c r="B142" s="619" t="s">
        <v>75</v>
      </c>
      <c r="C142" s="619" t="s">
        <v>1642</v>
      </c>
      <c r="D142" s="776">
        <v>41791</v>
      </c>
      <c r="E142" s="776" t="s">
        <v>78</v>
      </c>
      <c r="F142" s="777">
        <v>41736</v>
      </c>
      <c r="G142" s="619">
        <v>5</v>
      </c>
      <c r="H142" s="778">
        <v>9560</v>
      </c>
      <c r="I142" s="779"/>
      <c r="J142" s="543">
        <v>41746</v>
      </c>
      <c r="K142" s="780">
        <v>9425</v>
      </c>
      <c r="L142" s="781">
        <v>1</v>
      </c>
      <c r="M142" s="806">
        <v>5</v>
      </c>
      <c r="N142" s="783">
        <f>SUM((H142-K142)/L142*M142)*G142</f>
        <v>3375</v>
      </c>
      <c r="O142" s="776" t="s">
        <v>379</v>
      </c>
      <c r="P142" s="784">
        <v>1.3743000000000001</v>
      </c>
      <c r="Q142" s="807">
        <f t="shared" si="17"/>
        <v>4638.2624999999998</v>
      </c>
      <c r="R142" s="785"/>
      <c r="T142" s="327"/>
    </row>
    <row r="143" spans="1:20" s="327" customFormat="1" ht="14.25" customHeight="1">
      <c r="A143" s="14" t="s">
        <v>84</v>
      </c>
      <c r="B143" s="14" t="s">
        <v>83</v>
      </c>
      <c r="C143" s="14" t="s">
        <v>1640</v>
      </c>
      <c r="D143" s="761">
        <v>41760</v>
      </c>
      <c r="E143" s="761" t="s">
        <v>53</v>
      </c>
      <c r="F143" s="439">
        <v>41743</v>
      </c>
      <c r="G143" s="14">
        <v>4</v>
      </c>
      <c r="H143" s="437">
        <v>297.94</v>
      </c>
      <c r="I143" s="502"/>
      <c r="J143" s="543">
        <v>41750</v>
      </c>
      <c r="K143" s="800">
        <v>298.5</v>
      </c>
      <c r="L143" s="763">
        <v>0.01</v>
      </c>
      <c r="M143" s="636">
        <v>4.2</v>
      </c>
      <c r="N143" s="764">
        <f>SUM((K143-H143)/L143*M143)*G143</f>
        <v>940.80000000000382</v>
      </c>
      <c r="O143" s="761" t="s">
        <v>884</v>
      </c>
      <c r="P143" s="759">
        <v>1</v>
      </c>
      <c r="Q143" s="430">
        <f t="shared" si="17"/>
        <v>940.80000000000382</v>
      </c>
      <c r="R143" s="774"/>
    </row>
    <row r="144" spans="1:20" s="327" customFormat="1" ht="14.25" customHeight="1">
      <c r="A144" s="14" t="s">
        <v>63</v>
      </c>
      <c r="B144" s="14" t="s">
        <v>62</v>
      </c>
      <c r="C144" s="14" t="s">
        <v>1663</v>
      </c>
      <c r="D144" s="761">
        <v>41760</v>
      </c>
      <c r="E144" s="761" t="s">
        <v>53</v>
      </c>
      <c r="F144" s="439">
        <v>41744</v>
      </c>
      <c r="G144" s="14">
        <v>2</v>
      </c>
      <c r="H144" s="437">
        <v>122.52500000000001</v>
      </c>
      <c r="I144" s="502"/>
      <c r="J144" s="543">
        <v>41750</v>
      </c>
      <c r="K144" s="800">
        <v>121.3</v>
      </c>
      <c r="L144" s="763">
        <v>2.5000000000000001E-2</v>
      </c>
      <c r="M144" s="636">
        <v>10</v>
      </c>
      <c r="N144" s="764">
        <f>SUM((K144-H144)/L144*M144)*G144</f>
        <v>-980.00000000000682</v>
      </c>
      <c r="O144" s="761" t="s">
        <v>884</v>
      </c>
      <c r="P144" s="759">
        <v>1</v>
      </c>
      <c r="Q144" s="430">
        <f t="shared" si="17"/>
        <v>-980.00000000000682</v>
      </c>
      <c r="R144" s="774"/>
    </row>
    <row r="145" spans="1:20" s="456" customFormat="1" ht="15" customHeight="1">
      <c r="A145" s="14" t="s">
        <v>897</v>
      </c>
      <c r="B145" s="14" t="s">
        <v>807</v>
      </c>
      <c r="C145" s="14" t="s">
        <v>1641</v>
      </c>
      <c r="D145" s="761">
        <v>41760</v>
      </c>
      <c r="E145" s="761" t="s">
        <v>53</v>
      </c>
      <c r="F145" s="439">
        <v>41732</v>
      </c>
      <c r="G145" s="14">
        <v>2</v>
      </c>
      <c r="H145" s="437">
        <v>289.89999999999998</v>
      </c>
      <c r="I145" s="502"/>
      <c r="J145" s="543">
        <v>41754</v>
      </c>
      <c r="K145" s="800">
        <v>307.45999999999998</v>
      </c>
      <c r="L145" s="763">
        <v>0.01</v>
      </c>
      <c r="M145" s="636">
        <v>4.2</v>
      </c>
      <c r="N145" s="764">
        <f>SUM((K145-H145)/L145*M145)*G145</f>
        <v>14750.400000000003</v>
      </c>
      <c r="O145" s="761" t="s">
        <v>884</v>
      </c>
      <c r="P145" s="759">
        <v>1</v>
      </c>
      <c r="Q145" s="430">
        <f t="shared" ref="Q145" si="18">SUM(N145*P145)</f>
        <v>14750.400000000003</v>
      </c>
      <c r="R145" s="774"/>
      <c r="S145" s="327"/>
      <c r="T145" s="327"/>
    </row>
    <row r="146" spans="1:20" s="544" customFormat="1" ht="15" customHeight="1">
      <c r="A146" s="619" t="s">
        <v>1286</v>
      </c>
      <c r="B146" s="619" t="s">
        <v>921</v>
      </c>
      <c r="C146" s="619" t="s">
        <v>1692</v>
      </c>
      <c r="D146" s="776">
        <v>41821</v>
      </c>
      <c r="E146" s="776" t="s">
        <v>78</v>
      </c>
      <c r="F146" s="777">
        <v>41759</v>
      </c>
      <c r="G146" s="619">
        <v>7</v>
      </c>
      <c r="H146" s="778">
        <v>42.03</v>
      </c>
      <c r="I146" s="779"/>
      <c r="J146" s="543">
        <v>41768</v>
      </c>
      <c r="K146" s="780">
        <v>41.32</v>
      </c>
      <c r="L146" s="781">
        <v>0.01</v>
      </c>
      <c r="M146" s="806">
        <v>6</v>
      </c>
      <c r="N146" s="783">
        <f>SUM((H146-K146)/L146*M146)*G146</f>
        <v>2982.0000000000036</v>
      </c>
      <c r="O146" s="776" t="s">
        <v>884</v>
      </c>
      <c r="P146" s="784">
        <v>1</v>
      </c>
      <c r="Q146" s="807">
        <f t="shared" ref="Q146:Q150" si="19">SUM(N146*P146)</f>
        <v>2982.0000000000036</v>
      </c>
      <c r="R146" s="785"/>
    </row>
    <row r="147" spans="1:20" s="544" customFormat="1" ht="15" customHeight="1">
      <c r="A147" s="14" t="s">
        <v>50</v>
      </c>
      <c r="B147" s="14" t="s">
        <v>49</v>
      </c>
      <c r="C147" s="14" t="s">
        <v>1703</v>
      </c>
      <c r="D147" s="761">
        <v>41791</v>
      </c>
      <c r="E147" s="761" t="s">
        <v>53</v>
      </c>
      <c r="F147" s="439">
        <v>41773</v>
      </c>
      <c r="G147" s="14">
        <v>3</v>
      </c>
      <c r="H147" s="437">
        <v>914.5</v>
      </c>
      <c r="I147" s="502"/>
      <c r="J147" s="543">
        <v>41779</v>
      </c>
      <c r="K147" s="800">
        <v>906.1</v>
      </c>
      <c r="L147" s="763">
        <v>0.25</v>
      </c>
      <c r="M147" s="636">
        <v>25</v>
      </c>
      <c r="N147" s="764">
        <f>SUM((K147-H147)/L147*M147)*G147</f>
        <v>-2519.9999999999932</v>
      </c>
      <c r="O147" s="761" t="s">
        <v>884</v>
      </c>
      <c r="P147" s="759">
        <v>1</v>
      </c>
      <c r="Q147" s="430">
        <f t="shared" si="19"/>
        <v>-2519.9999999999932</v>
      </c>
      <c r="R147" s="774"/>
      <c r="S147" s="327"/>
      <c r="T147" s="327"/>
    </row>
    <row r="148" spans="1:20" s="544" customFormat="1" ht="15" customHeight="1">
      <c r="A148" s="619" t="s">
        <v>1711</v>
      </c>
      <c r="B148" s="619" t="s">
        <v>1066</v>
      </c>
      <c r="C148" s="619" t="s">
        <v>1712</v>
      </c>
      <c r="D148" s="776">
        <v>41821</v>
      </c>
      <c r="E148" s="776" t="s">
        <v>78</v>
      </c>
      <c r="F148" s="777">
        <v>41778</v>
      </c>
      <c r="G148" s="619">
        <v>5</v>
      </c>
      <c r="H148" s="778">
        <v>89.71</v>
      </c>
      <c r="I148" s="779"/>
      <c r="J148" s="543">
        <v>41780</v>
      </c>
      <c r="K148" s="780">
        <v>90.5</v>
      </c>
      <c r="L148" s="781">
        <v>0.01</v>
      </c>
      <c r="M148" s="806">
        <v>5</v>
      </c>
      <c r="N148" s="783">
        <f>SUM((H148-K148)/L148*M148)*G148</f>
        <v>-1975.0000000000157</v>
      </c>
      <c r="O148" s="776" t="s">
        <v>884</v>
      </c>
      <c r="P148" s="784">
        <v>1</v>
      </c>
      <c r="Q148" s="807">
        <f t="shared" si="19"/>
        <v>-1975.0000000000157</v>
      </c>
      <c r="R148" s="785"/>
    </row>
    <row r="149" spans="1:20" s="327" customFormat="1" ht="14.25" customHeight="1">
      <c r="A149" s="619" t="s">
        <v>1286</v>
      </c>
      <c r="B149" s="619" t="s">
        <v>921</v>
      </c>
      <c r="C149" s="619" t="s">
        <v>1692</v>
      </c>
      <c r="D149" s="776">
        <v>41821</v>
      </c>
      <c r="E149" s="776" t="s">
        <v>78</v>
      </c>
      <c r="F149" s="777">
        <v>41778</v>
      </c>
      <c r="G149" s="619">
        <v>6</v>
      </c>
      <c r="H149" s="778">
        <v>40.340000000000003</v>
      </c>
      <c r="I149" s="779"/>
      <c r="J149" s="543">
        <v>41781</v>
      </c>
      <c r="K149" s="780">
        <v>40.85</v>
      </c>
      <c r="L149" s="781">
        <v>0.01</v>
      </c>
      <c r="M149" s="806">
        <v>6</v>
      </c>
      <c r="N149" s="783">
        <f>SUM((H149-K149)/L149*M149)*G149</f>
        <v>-1835.9999999999927</v>
      </c>
      <c r="O149" s="776" t="s">
        <v>884</v>
      </c>
      <c r="P149" s="784">
        <v>1</v>
      </c>
      <c r="Q149" s="807">
        <f t="shared" si="19"/>
        <v>-1835.9999999999927</v>
      </c>
      <c r="R149" s="785"/>
      <c r="S149" s="544"/>
      <c r="T149" s="544"/>
    </row>
    <row r="150" spans="1:20" s="544" customFormat="1" ht="15" customHeight="1">
      <c r="A150" s="14" t="s">
        <v>48</v>
      </c>
      <c r="B150" s="14" t="s">
        <v>47</v>
      </c>
      <c r="C150" s="14" t="s">
        <v>1714</v>
      </c>
      <c r="D150" s="761">
        <v>41852</v>
      </c>
      <c r="E150" s="761" t="s">
        <v>53</v>
      </c>
      <c r="F150" s="439">
        <v>41778</v>
      </c>
      <c r="G150" s="14">
        <v>2</v>
      </c>
      <c r="H150" s="437">
        <v>194.375</v>
      </c>
      <c r="I150" s="502"/>
      <c r="J150" s="543">
        <v>41781</v>
      </c>
      <c r="K150" s="800">
        <v>195.4</v>
      </c>
      <c r="L150" s="763">
        <v>2.5000000000000001E-2</v>
      </c>
      <c r="M150" s="636">
        <v>12.5</v>
      </c>
      <c r="N150" s="764">
        <f>SUM((K150-H150)/L150*M150)*G150</f>
        <v>1025.0000000000057</v>
      </c>
      <c r="O150" s="761" t="s">
        <v>884</v>
      </c>
      <c r="P150" s="759">
        <v>1</v>
      </c>
      <c r="Q150" s="430">
        <f t="shared" si="19"/>
        <v>1025.0000000000057</v>
      </c>
      <c r="R150" s="774"/>
      <c r="S150" s="327"/>
      <c r="T150" s="327"/>
    </row>
    <row r="151" spans="1:20" s="327" customFormat="1" ht="14.25" customHeight="1">
      <c r="A151" s="619" t="s">
        <v>1713</v>
      </c>
      <c r="B151" s="619" t="s">
        <v>1713</v>
      </c>
      <c r="C151" s="619" t="s">
        <v>1642</v>
      </c>
      <c r="D151" s="776">
        <v>41791</v>
      </c>
      <c r="E151" s="776" t="s">
        <v>78</v>
      </c>
      <c r="F151" s="777">
        <v>41778</v>
      </c>
      <c r="G151" s="619">
        <v>3</v>
      </c>
      <c r="H151" s="778">
        <v>9570</v>
      </c>
      <c r="I151" s="779"/>
      <c r="J151" s="543">
        <v>41781</v>
      </c>
      <c r="K151" s="780">
        <v>9370</v>
      </c>
      <c r="L151" s="781">
        <v>1</v>
      </c>
      <c r="M151" s="806">
        <v>5</v>
      </c>
      <c r="N151" s="783">
        <f>SUM((H151-K151)/L151*M151)*G151</f>
        <v>3000</v>
      </c>
      <c r="O151" s="776" t="s">
        <v>379</v>
      </c>
      <c r="P151" s="784">
        <v>1.3708</v>
      </c>
      <c r="Q151" s="807">
        <f t="shared" ref="Q151:Q164" si="20">SUM(N151*P151)</f>
        <v>4112.3999999999996</v>
      </c>
      <c r="R151" s="785"/>
      <c r="S151" s="544"/>
      <c r="T151" s="544"/>
    </row>
    <row r="152" spans="1:20" s="327" customFormat="1" ht="14.25" customHeight="1">
      <c r="A152" s="619" t="s">
        <v>1730</v>
      </c>
      <c r="B152" s="619" t="s">
        <v>2</v>
      </c>
      <c r="C152" s="619" t="s">
        <v>1729</v>
      </c>
      <c r="D152" s="776">
        <v>41821</v>
      </c>
      <c r="E152" s="776" t="s">
        <v>78</v>
      </c>
      <c r="F152" s="777">
        <v>41787</v>
      </c>
      <c r="G152" s="619">
        <v>4</v>
      </c>
      <c r="H152" s="778">
        <v>109.61</v>
      </c>
      <c r="I152" s="779"/>
      <c r="J152" s="543">
        <v>41794</v>
      </c>
      <c r="K152" s="780">
        <v>109.23</v>
      </c>
      <c r="L152" s="781">
        <v>0.01</v>
      </c>
      <c r="M152" s="806">
        <v>10</v>
      </c>
      <c r="N152" s="783">
        <f>SUM((H152-K152)/L152*M152)*G152</f>
        <v>1519.9999999999818</v>
      </c>
      <c r="O152" s="776" t="s">
        <v>884</v>
      </c>
      <c r="P152" s="784">
        <v>1</v>
      </c>
      <c r="Q152" s="807">
        <f t="shared" si="20"/>
        <v>1519.9999999999818</v>
      </c>
      <c r="R152" s="785"/>
      <c r="S152" s="544"/>
      <c r="T152" s="544"/>
    </row>
    <row r="153" spans="1:20" s="544" customFormat="1" ht="15" customHeight="1">
      <c r="A153" s="619" t="s">
        <v>1286</v>
      </c>
      <c r="B153" s="619" t="s">
        <v>921</v>
      </c>
      <c r="C153" s="619" t="s">
        <v>1692</v>
      </c>
      <c r="D153" s="776">
        <v>41821</v>
      </c>
      <c r="E153" s="776" t="s">
        <v>78</v>
      </c>
      <c r="F153" s="777">
        <v>41787</v>
      </c>
      <c r="G153" s="619">
        <v>8</v>
      </c>
      <c r="H153" s="778">
        <v>39.53</v>
      </c>
      <c r="I153" s="779"/>
      <c r="J153" s="543">
        <v>41794</v>
      </c>
      <c r="K153" s="780">
        <v>38.96</v>
      </c>
      <c r="L153" s="781">
        <v>0.01</v>
      </c>
      <c r="M153" s="806">
        <v>6</v>
      </c>
      <c r="N153" s="783">
        <f>SUM((H153-K153)/L153*M153)*G153</f>
        <v>2736.0000000000014</v>
      </c>
      <c r="O153" s="776" t="s">
        <v>884</v>
      </c>
      <c r="P153" s="784">
        <v>1</v>
      </c>
      <c r="Q153" s="807">
        <f t="shared" si="20"/>
        <v>2736.0000000000014</v>
      </c>
      <c r="R153" s="785"/>
    </row>
    <row r="154" spans="1:20" s="544" customFormat="1" ht="15" customHeight="1">
      <c r="A154" s="619" t="s">
        <v>894</v>
      </c>
      <c r="B154" s="619" t="s">
        <v>361</v>
      </c>
      <c r="C154" s="619" t="s">
        <v>1728</v>
      </c>
      <c r="D154" s="776">
        <v>41821</v>
      </c>
      <c r="E154" s="776" t="s">
        <v>78</v>
      </c>
      <c r="F154" s="777">
        <v>41787</v>
      </c>
      <c r="G154" s="619">
        <v>1</v>
      </c>
      <c r="H154" s="778">
        <v>175.8</v>
      </c>
      <c r="I154" s="779"/>
      <c r="J154" s="543">
        <v>41796</v>
      </c>
      <c r="K154" s="780">
        <v>172.5</v>
      </c>
      <c r="L154" s="781">
        <v>0.05</v>
      </c>
      <c r="M154" s="806">
        <v>18.75</v>
      </c>
      <c r="N154" s="783">
        <f>SUM((H154-K154)/L154*M154)*G154</f>
        <v>1237.5000000000043</v>
      </c>
      <c r="O154" s="776" t="s">
        <v>884</v>
      </c>
      <c r="P154" s="784">
        <v>1</v>
      </c>
      <c r="Q154" s="807">
        <f t="shared" si="20"/>
        <v>1237.5000000000043</v>
      </c>
      <c r="R154" s="785"/>
    </row>
    <row r="155" spans="1:20" s="327" customFormat="1" ht="14.25" customHeight="1">
      <c r="A155" s="14" t="s">
        <v>1705</v>
      </c>
      <c r="B155" s="14" t="s">
        <v>1021</v>
      </c>
      <c r="C155" s="14" t="s">
        <v>1706</v>
      </c>
      <c r="D155" s="761">
        <v>41821</v>
      </c>
      <c r="E155" s="761" t="s">
        <v>53</v>
      </c>
      <c r="F155" s="439">
        <v>41774</v>
      </c>
      <c r="G155" s="14">
        <v>9</v>
      </c>
      <c r="H155" s="437">
        <v>2918</v>
      </c>
      <c r="I155" s="502"/>
      <c r="J155" s="543">
        <v>41803</v>
      </c>
      <c r="K155" s="800">
        <v>3092</v>
      </c>
      <c r="L155" s="763">
        <v>1</v>
      </c>
      <c r="M155" s="636">
        <v>10</v>
      </c>
      <c r="N155" s="764">
        <f>SUM((K155-H155)/L155*M155)*G155</f>
        <v>15660</v>
      </c>
      <c r="O155" s="761" t="s">
        <v>884</v>
      </c>
      <c r="P155" s="759">
        <v>1</v>
      </c>
      <c r="Q155" s="430">
        <f t="shared" si="20"/>
        <v>15660</v>
      </c>
      <c r="R155" s="774" t="s">
        <v>1746</v>
      </c>
    </row>
    <row r="156" spans="1:20" s="327" customFormat="1" ht="14.25" customHeight="1">
      <c r="A156" s="14" t="s">
        <v>1020</v>
      </c>
      <c r="B156" s="14" t="s">
        <v>1021</v>
      </c>
      <c r="C156" s="14" t="s">
        <v>1745</v>
      </c>
      <c r="D156" s="761">
        <v>41883</v>
      </c>
      <c r="E156" s="761" t="s">
        <v>53</v>
      </c>
      <c r="F156" s="439">
        <v>41803</v>
      </c>
      <c r="G156" s="14">
        <v>9</v>
      </c>
      <c r="H156" s="437">
        <v>3087</v>
      </c>
      <c r="I156" s="502"/>
      <c r="J156" s="543">
        <v>41806</v>
      </c>
      <c r="K156" s="800">
        <v>3085</v>
      </c>
      <c r="L156" s="763">
        <v>1</v>
      </c>
      <c r="M156" s="636">
        <v>10</v>
      </c>
      <c r="N156" s="764">
        <f>SUM((K156-H156)/L156*M156)*G156</f>
        <v>-180</v>
      </c>
      <c r="O156" s="761" t="s">
        <v>884</v>
      </c>
      <c r="P156" s="759">
        <v>1</v>
      </c>
      <c r="Q156" s="430">
        <f t="shared" si="20"/>
        <v>-180</v>
      </c>
      <c r="R156" s="774"/>
    </row>
    <row r="157" spans="1:20" s="327" customFormat="1" ht="14.25" customHeight="1">
      <c r="A157" s="14" t="s">
        <v>1256</v>
      </c>
      <c r="B157" s="14" t="s">
        <v>79</v>
      </c>
      <c r="C157" s="14" t="s">
        <v>1749</v>
      </c>
      <c r="D157" s="761">
        <v>41852</v>
      </c>
      <c r="E157" s="761" t="s">
        <v>53</v>
      </c>
      <c r="F157" s="439">
        <v>41799</v>
      </c>
      <c r="G157" s="14">
        <v>4</v>
      </c>
      <c r="H157" s="437">
        <v>102.54</v>
      </c>
      <c r="I157" s="502"/>
      <c r="J157" s="543">
        <v>41807</v>
      </c>
      <c r="K157" s="800">
        <v>105.5</v>
      </c>
      <c r="L157" s="763">
        <v>0.01</v>
      </c>
      <c r="M157" s="636">
        <v>10</v>
      </c>
      <c r="N157" s="764">
        <f>SUM((K157-H157)/L157*M157)*G157</f>
        <v>11839.999999999975</v>
      </c>
      <c r="O157" s="761" t="s">
        <v>884</v>
      </c>
      <c r="P157" s="759">
        <v>1</v>
      </c>
      <c r="Q157" s="430">
        <f t="shared" si="20"/>
        <v>11839.999999999975</v>
      </c>
      <c r="R157" s="774"/>
    </row>
    <row r="158" spans="1:20" s="544" customFormat="1" ht="15" customHeight="1">
      <c r="A158" s="619" t="s">
        <v>107</v>
      </c>
      <c r="B158" s="619" t="s">
        <v>78</v>
      </c>
      <c r="C158" s="619" t="s">
        <v>1754</v>
      </c>
      <c r="D158" s="776">
        <v>41821</v>
      </c>
      <c r="E158" s="776" t="s">
        <v>78</v>
      </c>
      <c r="F158" s="777">
        <v>41802</v>
      </c>
      <c r="G158" s="619">
        <v>2</v>
      </c>
      <c r="H158" s="778">
        <v>1425.75</v>
      </c>
      <c r="I158" s="779"/>
      <c r="J158" s="543">
        <v>41809</v>
      </c>
      <c r="K158" s="780">
        <v>1423</v>
      </c>
      <c r="L158" s="781">
        <v>0.01</v>
      </c>
      <c r="M158" s="806">
        <v>6</v>
      </c>
      <c r="N158" s="783">
        <f>SUM((H158-K158)/L158*M158)*G158</f>
        <v>3300</v>
      </c>
      <c r="O158" s="776" t="s">
        <v>884</v>
      </c>
      <c r="P158" s="784">
        <v>1</v>
      </c>
      <c r="Q158" s="807">
        <f t="shared" si="20"/>
        <v>3300</v>
      </c>
      <c r="R158" s="785"/>
    </row>
    <row r="159" spans="1:20" s="327" customFormat="1" ht="14.25" customHeight="1">
      <c r="A159" s="619" t="s">
        <v>985</v>
      </c>
      <c r="B159" s="619" t="s">
        <v>738</v>
      </c>
      <c r="C159" s="619" t="s">
        <v>1762</v>
      </c>
      <c r="D159" s="776">
        <v>41821</v>
      </c>
      <c r="E159" s="776" t="s">
        <v>78</v>
      </c>
      <c r="F159" s="777">
        <v>41809</v>
      </c>
      <c r="G159" s="619">
        <v>3</v>
      </c>
      <c r="H159" s="778">
        <v>4.6189999999999998</v>
      </c>
      <c r="I159" s="779"/>
      <c r="J159" s="543">
        <v>41813</v>
      </c>
      <c r="K159" s="780">
        <v>4.4340000000000002</v>
      </c>
      <c r="L159" s="781">
        <v>1E-3</v>
      </c>
      <c r="M159" s="806">
        <v>10</v>
      </c>
      <c r="N159" s="783">
        <f>SUM((H159-K159)/L159*M159)*G159</f>
        <v>5549.9999999999873</v>
      </c>
      <c r="O159" s="776" t="s">
        <v>884</v>
      </c>
      <c r="P159" s="784">
        <v>1</v>
      </c>
      <c r="Q159" s="807">
        <f t="shared" si="20"/>
        <v>5549.9999999999873</v>
      </c>
      <c r="R159" s="785" t="s">
        <v>1767</v>
      </c>
      <c r="S159" s="544"/>
      <c r="T159" s="544"/>
    </row>
    <row r="160" spans="1:20" s="544" customFormat="1" ht="15" customHeight="1">
      <c r="A160" s="14" t="s">
        <v>50</v>
      </c>
      <c r="B160" s="14" t="s">
        <v>49</v>
      </c>
      <c r="C160" s="14" t="s">
        <v>1753</v>
      </c>
      <c r="D160" s="761">
        <v>41821</v>
      </c>
      <c r="E160" s="761" t="s">
        <v>53</v>
      </c>
      <c r="F160" s="439">
        <v>41802</v>
      </c>
      <c r="G160" s="14">
        <v>5</v>
      </c>
      <c r="H160" s="437">
        <v>900.75</v>
      </c>
      <c r="I160" s="502"/>
      <c r="J160" s="543">
        <v>41813</v>
      </c>
      <c r="K160" s="800">
        <v>928.1</v>
      </c>
      <c r="L160" s="763">
        <v>0.25</v>
      </c>
      <c r="M160" s="636">
        <v>25</v>
      </c>
      <c r="N160" s="764">
        <f>SUM((K160-H160)/L160*M160)*G160</f>
        <v>13675.000000000011</v>
      </c>
      <c r="O160" s="761" t="s">
        <v>884</v>
      </c>
      <c r="P160" s="759">
        <v>1</v>
      </c>
      <c r="Q160" s="430">
        <f t="shared" si="20"/>
        <v>13675.000000000011</v>
      </c>
      <c r="R160" s="774"/>
      <c r="S160" s="327"/>
      <c r="T160" s="327"/>
    </row>
    <row r="161" spans="1:20" s="544" customFormat="1" ht="15" customHeight="1">
      <c r="A161" s="14" t="s">
        <v>1310</v>
      </c>
      <c r="B161" s="14" t="s">
        <v>976</v>
      </c>
      <c r="C161" s="14" t="s">
        <v>1766</v>
      </c>
      <c r="D161" s="761">
        <v>41883</v>
      </c>
      <c r="E161" s="761" t="s">
        <v>53</v>
      </c>
      <c r="F161" s="439">
        <v>41813</v>
      </c>
      <c r="G161" s="14">
        <v>7</v>
      </c>
      <c r="H161" s="437">
        <v>449.75</v>
      </c>
      <c r="I161" s="502"/>
      <c r="J161" s="543">
        <v>41814</v>
      </c>
      <c r="K161" s="800">
        <v>433.9</v>
      </c>
      <c r="L161" s="763">
        <v>0.25</v>
      </c>
      <c r="M161" s="636">
        <v>12.5</v>
      </c>
      <c r="N161" s="764">
        <f>SUM((K161-H161)/L161*M161)*G161</f>
        <v>-5547.5000000000082</v>
      </c>
      <c r="O161" s="761" t="s">
        <v>884</v>
      </c>
      <c r="P161" s="759">
        <v>1</v>
      </c>
      <c r="Q161" s="430">
        <f t="shared" si="20"/>
        <v>-5547.5000000000082</v>
      </c>
      <c r="R161" s="774"/>
      <c r="S161" s="327"/>
      <c r="T161" s="327"/>
    </row>
    <row r="162" spans="1:20" s="327" customFormat="1" ht="14.25" customHeight="1">
      <c r="A162" s="14" t="s">
        <v>897</v>
      </c>
      <c r="B162" s="14" t="s">
        <v>807</v>
      </c>
      <c r="C162" s="14" t="s">
        <v>1750</v>
      </c>
      <c r="D162" s="761">
        <v>41821</v>
      </c>
      <c r="E162" s="761" t="s">
        <v>53</v>
      </c>
      <c r="F162" s="439">
        <v>41799</v>
      </c>
      <c r="G162" s="14">
        <v>3</v>
      </c>
      <c r="H162" s="437">
        <v>297.92</v>
      </c>
      <c r="I162" s="502"/>
      <c r="J162" s="543">
        <v>41815</v>
      </c>
      <c r="K162" s="800">
        <v>311.61</v>
      </c>
      <c r="L162" s="763">
        <v>0.01</v>
      </c>
      <c r="M162" s="636">
        <v>4.2</v>
      </c>
      <c r="N162" s="764">
        <f>SUM((K162-H162)/L162*M162)*G162</f>
        <v>17249.399999999998</v>
      </c>
      <c r="O162" s="761" t="s">
        <v>884</v>
      </c>
      <c r="P162" s="759">
        <v>1</v>
      </c>
      <c r="Q162" s="430">
        <f t="shared" si="20"/>
        <v>17249.399999999998</v>
      </c>
      <c r="R162" s="774" t="s">
        <v>1772</v>
      </c>
    </row>
    <row r="163" spans="1:20" s="544" customFormat="1" ht="15" customHeight="1">
      <c r="A163" s="14" t="s">
        <v>897</v>
      </c>
      <c r="B163" s="14" t="s">
        <v>807</v>
      </c>
      <c r="C163" s="14" t="s">
        <v>1773</v>
      </c>
      <c r="D163" s="761">
        <v>41852</v>
      </c>
      <c r="E163" s="761" t="s">
        <v>53</v>
      </c>
      <c r="F163" s="439">
        <v>41815</v>
      </c>
      <c r="G163" s="14">
        <v>3</v>
      </c>
      <c r="H163" s="437">
        <v>308.68</v>
      </c>
      <c r="I163" s="502"/>
      <c r="J163" s="543">
        <v>41815</v>
      </c>
      <c r="K163" s="800">
        <v>306.39999999999998</v>
      </c>
      <c r="L163" s="763">
        <v>0.01</v>
      </c>
      <c r="M163" s="636">
        <v>4.2</v>
      </c>
      <c r="N163" s="764">
        <f>SUM((K163-H163)/L163*M163)*G163</f>
        <v>-2872.8000000000375</v>
      </c>
      <c r="O163" s="761" t="s">
        <v>884</v>
      </c>
      <c r="P163" s="759">
        <v>1</v>
      </c>
      <c r="Q163" s="430">
        <f t="shared" si="20"/>
        <v>-2872.8000000000375</v>
      </c>
      <c r="R163" s="774" t="s">
        <v>1772</v>
      </c>
      <c r="S163" s="327"/>
      <c r="T163" s="327"/>
    </row>
    <row r="164" spans="1:20" s="327" customFormat="1" ht="14.25" customHeight="1">
      <c r="A164" s="619" t="s">
        <v>1768</v>
      </c>
      <c r="B164" s="619" t="s">
        <v>738</v>
      </c>
      <c r="C164" s="619" t="s">
        <v>1769</v>
      </c>
      <c r="D164" s="776" t="s">
        <v>1770</v>
      </c>
      <c r="E164" s="776" t="s">
        <v>78</v>
      </c>
      <c r="F164" s="777">
        <v>41752</v>
      </c>
      <c r="G164" s="619">
        <v>4</v>
      </c>
      <c r="H164" s="778">
        <v>4.4630000000000001</v>
      </c>
      <c r="I164" s="779"/>
      <c r="J164" s="543">
        <v>41815</v>
      </c>
      <c r="K164" s="780">
        <v>4.5860000000000003</v>
      </c>
      <c r="L164" s="781">
        <v>1E-3</v>
      </c>
      <c r="M164" s="806">
        <v>10</v>
      </c>
      <c r="N164" s="783">
        <f>SUM((H164-K164)/L164*M164)*G164</f>
        <v>-4920.0000000000082</v>
      </c>
      <c r="O164" s="776" t="s">
        <v>884</v>
      </c>
      <c r="P164" s="784">
        <v>1</v>
      </c>
      <c r="Q164" s="807">
        <f t="shared" si="20"/>
        <v>-4920.0000000000082</v>
      </c>
      <c r="R164" s="785"/>
      <c r="S164" s="544"/>
      <c r="T164" s="544"/>
    </row>
    <row r="165" spans="1:20" s="544" customFormat="1" ht="15" customHeight="1">
      <c r="A165" s="14" t="s">
        <v>925</v>
      </c>
      <c r="B165" s="14" t="s">
        <v>2</v>
      </c>
      <c r="C165" s="14" t="s">
        <v>1748</v>
      </c>
      <c r="D165" s="761">
        <v>41852</v>
      </c>
      <c r="E165" s="761" t="s">
        <v>53</v>
      </c>
      <c r="F165" s="439">
        <v>41799</v>
      </c>
      <c r="G165" s="14">
        <v>4</v>
      </c>
      <c r="H165" s="437">
        <v>108.78</v>
      </c>
      <c r="I165" s="502"/>
      <c r="J165" s="543">
        <v>41815</v>
      </c>
      <c r="K165" s="800">
        <v>113.2</v>
      </c>
      <c r="L165" s="763">
        <v>0.01</v>
      </c>
      <c r="M165" s="636">
        <v>10</v>
      </c>
      <c r="N165" s="764">
        <f>SUM((K165-H165)/L165*M165)*G165</f>
        <v>17680.000000000007</v>
      </c>
      <c r="O165" s="761" t="s">
        <v>884</v>
      </c>
      <c r="P165" s="759">
        <v>1</v>
      </c>
      <c r="Q165" s="430">
        <f t="shared" ref="Q165:Q167" si="21">SUM(N165*P165)</f>
        <v>17680.000000000007</v>
      </c>
      <c r="R165" s="774"/>
      <c r="S165" s="327"/>
      <c r="T165" s="327"/>
    </row>
    <row r="166" spans="1:20" s="327" customFormat="1" ht="14.25" customHeight="1">
      <c r="A166" s="14" t="s">
        <v>1286</v>
      </c>
      <c r="B166" s="14" t="s">
        <v>921</v>
      </c>
      <c r="C166" s="14" t="s">
        <v>1756</v>
      </c>
      <c r="D166" s="761">
        <v>41821</v>
      </c>
      <c r="E166" s="761" t="s">
        <v>53</v>
      </c>
      <c r="F166" s="439">
        <v>41803</v>
      </c>
      <c r="G166" s="14">
        <v>9</v>
      </c>
      <c r="H166" s="437">
        <v>39.71</v>
      </c>
      <c r="I166" s="502"/>
      <c r="J166" s="543">
        <v>41817</v>
      </c>
      <c r="K166" s="800">
        <v>40.42</v>
      </c>
      <c r="L166" s="763">
        <v>0.01</v>
      </c>
      <c r="M166" s="636">
        <v>6</v>
      </c>
      <c r="N166" s="764">
        <f>SUM((K166-H166)/L166*M166)*G166</f>
        <v>3834.0000000000045</v>
      </c>
      <c r="O166" s="761" t="s">
        <v>884</v>
      </c>
      <c r="P166" s="759">
        <v>1</v>
      </c>
      <c r="Q166" s="430">
        <f t="shared" si="21"/>
        <v>3834.0000000000045</v>
      </c>
      <c r="R166" s="774"/>
    </row>
    <row r="167" spans="1:20" s="327" customFormat="1" ht="14.25" customHeight="1">
      <c r="A167" s="14" t="s">
        <v>1174</v>
      </c>
      <c r="B167" s="14" t="s">
        <v>389</v>
      </c>
      <c r="C167" s="14" t="s">
        <v>1761</v>
      </c>
      <c r="D167" s="761">
        <v>41821</v>
      </c>
      <c r="E167" s="761" t="s">
        <v>53</v>
      </c>
      <c r="F167" s="439">
        <v>41809</v>
      </c>
      <c r="G167" s="14">
        <v>2</v>
      </c>
      <c r="H167" s="437">
        <v>319.8</v>
      </c>
      <c r="I167" s="502"/>
      <c r="J167" s="543">
        <v>41817</v>
      </c>
      <c r="K167" s="800">
        <v>332</v>
      </c>
      <c r="L167" s="763">
        <v>0.1</v>
      </c>
      <c r="M167" s="636">
        <v>11</v>
      </c>
      <c r="N167" s="764">
        <f>SUM((K167-H167)/L167*M167)*G167</f>
        <v>2683.9999999999973</v>
      </c>
      <c r="O167" s="761" t="s">
        <v>884</v>
      </c>
      <c r="P167" s="759">
        <v>1</v>
      </c>
      <c r="Q167" s="430">
        <f t="shared" si="21"/>
        <v>2683.9999999999973</v>
      </c>
      <c r="R167" s="774"/>
    </row>
    <row r="168" spans="1:20" s="327" customFormat="1" ht="14.25" customHeight="1">
      <c r="A168" s="14" t="s">
        <v>107</v>
      </c>
      <c r="B168" s="14" t="s">
        <v>78</v>
      </c>
      <c r="C168" s="14" t="s">
        <v>1775</v>
      </c>
      <c r="D168" s="761">
        <v>41852</v>
      </c>
      <c r="E168" s="761" t="s">
        <v>53</v>
      </c>
      <c r="F168" s="439">
        <v>41817</v>
      </c>
      <c r="G168" s="14">
        <v>6</v>
      </c>
      <c r="H168" s="437">
        <v>1388.25</v>
      </c>
      <c r="I168" s="502"/>
      <c r="J168" s="543">
        <v>41821</v>
      </c>
      <c r="K168" s="800">
        <v>1373</v>
      </c>
      <c r="L168" s="763">
        <v>1</v>
      </c>
      <c r="M168" s="636">
        <v>10</v>
      </c>
      <c r="N168" s="764">
        <f>SUM((K168-H168)/L168*M168)*G168</f>
        <v>-915</v>
      </c>
      <c r="O168" s="761" t="s">
        <v>884</v>
      </c>
      <c r="P168" s="759">
        <v>1</v>
      </c>
      <c r="Q168" s="430">
        <f>SUM(N168*P168)</f>
        <v>-915</v>
      </c>
      <c r="R168" s="774"/>
    </row>
    <row r="169" spans="1:20" s="327" customFormat="1" ht="14.25" customHeight="1">
      <c r="A169" s="14" t="s">
        <v>917</v>
      </c>
      <c r="B169" s="14" t="s">
        <v>918</v>
      </c>
      <c r="C169" s="14" t="s">
        <v>1774</v>
      </c>
      <c r="D169" s="761">
        <v>41821</v>
      </c>
      <c r="E169" s="761" t="s">
        <v>53</v>
      </c>
      <c r="F169" s="439">
        <v>41817</v>
      </c>
      <c r="G169" s="14">
        <v>10</v>
      </c>
      <c r="H169" s="437">
        <v>2020</v>
      </c>
      <c r="I169" s="502"/>
      <c r="J169" s="543">
        <v>41823</v>
      </c>
      <c r="K169" s="800">
        <v>2053</v>
      </c>
      <c r="L169" s="763">
        <v>1</v>
      </c>
      <c r="M169" s="636">
        <v>10</v>
      </c>
      <c r="N169" s="764">
        <f t="shared" ref="N169" si="22">SUM((K169-H169)/L169*M169)*G169</f>
        <v>3300</v>
      </c>
      <c r="O169" s="761" t="s">
        <v>884</v>
      </c>
      <c r="P169" s="759">
        <v>1</v>
      </c>
      <c r="Q169" s="430">
        <f t="shared" ref="Q169" si="23">SUM(N169*P169)</f>
        <v>3300</v>
      </c>
      <c r="R169" s="774"/>
    </row>
    <row r="170" spans="1:20" s="544" customFormat="1" ht="15" customHeight="1">
      <c r="A170" s="14" t="s">
        <v>917</v>
      </c>
      <c r="B170" s="14" t="s">
        <v>918</v>
      </c>
      <c r="C170" s="14" t="s">
        <v>1779</v>
      </c>
      <c r="D170" s="761">
        <v>41913</v>
      </c>
      <c r="E170" s="761" t="s">
        <v>53</v>
      </c>
      <c r="F170" s="439">
        <v>41823</v>
      </c>
      <c r="G170" s="14">
        <v>10</v>
      </c>
      <c r="H170" s="437">
        <v>2053</v>
      </c>
      <c r="I170" s="502"/>
      <c r="J170" s="543">
        <v>41830</v>
      </c>
      <c r="K170" s="800">
        <v>2030</v>
      </c>
      <c r="L170" s="763">
        <v>1</v>
      </c>
      <c r="M170" s="636">
        <v>10</v>
      </c>
      <c r="N170" s="764">
        <f>SUM((K170-H170)/L170*M170)*G170</f>
        <v>-2300</v>
      </c>
      <c r="O170" s="761" t="s">
        <v>884</v>
      </c>
      <c r="P170" s="759">
        <v>1</v>
      </c>
      <c r="Q170" s="430">
        <f>SUM(N170*P170)</f>
        <v>-2300</v>
      </c>
      <c r="R170" s="774"/>
      <c r="S170" s="327"/>
      <c r="T170" s="327"/>
    </row>
    <row r="171" spans="1:20" s="544" customFormat="1" ht="15" customHeight="1">
      <c r="A171" s="14"/>
      <c r="B171" s="14"/>
      <c r="C171" s="14"/>
      <c r="D171" s="761"/>
      <c r="E171" s="761"/>
      <c r="F171" s="439"/>
      <c r="G171" s="14"/>
      <c r="H171" s="437"/>
      <c r="I171" s="502"/>
      <c r="J171" s="775"/>
      <c r="K171" s="800"/>
      <c r="L171" s="763"/>
      <c r="M171" s="636"/>
      <c r="N171" s="764"/>
      <c r="O171" s="761"/>
      <c r="P171" s="759"/>
      <c r="Q171" s="430"/>
      <c r="R171" s="774"/>
      <c r="S171" s="327"/>
      <c r="T171" s="327"/>
    </row>
    <row r="172" spans="1:20" s="544" customFormat="1" ht="15" customHeight="1">
      <c r="A172" s="14"/>
      <c r="B172" s="14"/>
      <c r="C172" s="14"/>
      <c r="D172" s="761"/>
      <c r="E172" s="761"/>
      <c r="F172" s="439"/>
      <c r="G172" s="14"/>
      <c r="H172" s="437"/>
      <c r="I172" s="502"/>
      <c r="J172" s="775"/>
      <c r="K172" s="800"/>
      <c r="L172" s="763"/>
      <c r="M172" s="636"/>
      <c r="N172" s="764"/>
      <c r="O172" s="761"/>
      <c r="P172" s="759"/>
      <c r="Q172" s="430"/>
      <c r="R172" s="774"/>
      <c r="S172" s="327"/>
      <c r="T172" s="327"/>
    </row>
    <row r="173" spans="1:20" s="544" customFormat="1" ht="15" customHeight="1">
      <c r="A173" s="14"/>
      <c r="B173" s="14"/>
      <c r="C173" s="14"/>
      <c r="D173" s="761"/>
      <c r="E173" s="761"/>
      <c r="F173" s="439"/>
      <c r="G173" s="14"/>
      <c r="H173" s="437"/>
      <c r="I173" s="502"/>
      <c r="J173" s="775"/>
      <c r="K173" s="800"/>
      <c r="L173" s="763"/>
      <c r="M173" s="636"/>
      <c r="N173" s="764"/>
      <c r="O173" s="761"/>
      <c r="P173" s="759"/>
      <c r="Q173" s="430"/>
      <c r="R173" s="774"/>
      <c r="S173" s="327"/>
      <c r="T173" s="327"/>
    </row>
    <row r="175" spans="1:20" s="14" customFormat="1" ht="16.5" thickBot="1">
      <c r="A175" s="39" t="s">
        <v>39</v>
      </c>
      <c r="B175" s="39"/>
      <c r="C175" s="39"/>
      <c r="D175" s="75"/>
      <c r="E175" s="75"/>
      <c r="F175" s="39"/>
      <c r="G175" s="39"/>
      <c r="H175" s="252"/>
      <c r="I175" s="41"/>
      <c r="J175" s="42"/>
      <c r="K175" s="272"/>
      <c r="L175" s="98"/>
      <c r="M175" s="40"/>
      <c r="N175" s="111"/>
      <c r="O175" s="75"/>
      <c r="P175" s="172"/>
      <c r="Q175" s="236">
        <f>SUM(Q31:Q174)</f>
        <v>108518.33458349109</v>
      </c>
      <c r="R175" s="41"/>
      <c r="S175" s="3"/>
    </row>
    <row r="176" spans="1:20" ht="16.5" thickTop="1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40"/>
  <sheetViews>
    <sheetView zoomScale="85" zoomScaleNormal="85" workbookViewId="0">
      <selection activeCell="H13" sqref="H13"/>
    </sheetView>
  </sheetViews>
  <sheetFormatPr defaultColWidth="8.85546875" defaultRowHeight="15.75"/>
  <cols>
    <col min="1" max="1" width="26.85546875" style="1" customWidth="1"/>
    <col min="2" max="2" width="9.42578125" style="425" bestFit="1" customWidth="1"/>
    <col min="3" max="3" width="5.42578125" style="66" customWidth="1"/>
    <col min="4" max="4" width="14.42578125" style="1" bestFit="1" customWidth="1"/>
    <col min="5" max="5" width="6.85546875" style="1" customWidth="1"/>
    <col min="6" max="6" width="13.140625" style="243" bestFit="1" customWidth="1"/>
    <col min="7" max="7" width="2.28515625" style="1" customWidth="1"/>
    <col min="8" max="8" width="12.5703125" style="321" customWidth="1"/>
    <col min="9" max="9" width="15" style="243" bestFit="1" customWidth="1"/>
    <col min="10" max="10" width="11" style="91" bestFit="1" customWidth="1"/>
    <col min="11" max="11" width="12.85546875" style="30" bestFit="1" customWidth="1"/>
    <col min="12" max="12" width="20.85546875" style="104" bestFit="1" customWidth="1"/>
    <col min="13" max="13" width="12.28515625" style="67" bestFit="1" customWidth="1"/>
    <col min="14" max="14" width="12.5703125" style="163" bestFit="1" customWidth="1"/>
    <col min="15" max="15" width="15" style="136" bestFit="1" customWidth="1"/>
    <col min="16" max="16" width="48.85546875" style="5" customWidth="1"/>
    <col min="17" max="16384" width="8.85546875" style="322"/>
  </cols>
  <sheetData>
    <row r="2" spans="1:16" ht="18.75">
      <c r="A2" s="33" t="s">
        <v>903</v>
      </c>
    </row>
    <row r="3" spans="1:16" ht="18.75">
      <c r="A3" s="33"/>
    </row>
    <row r="4" spans="1:16" ht="19.5" thickBot="1">
      <c r="A4" s="34">
        <f>O18+O239</f>
        <v>-26158.060260813734</v>
      </c>
      <c r="B4" s="11"/>
      <c r="C4" s="125"/>
      <c r="D4" s="6"/>
      <c r="E4" s="7"/>
      <c r="F4" s="244"/>
      <c r="G4" s="7"/>
      <c r="H4" s="379"/>
      <c r="I4" s="253"/>
      <c r="J4" s="92"/>
      <c r="K4" s="29"/>
      <c r="L4" s="105"/>
      <c r="M4" s="68"/>
      <c r="N4" s="173"/>
      <c r="O4" s="137"/>
      <c r="P4" s="12"/>
    </row>
    <row r="5" spans="1:16" ht="19.5" thickTop="1">
      <c r="A5" s="135"/>
      <c r="B5" s="11"/>
      <c r="C5" s="68"/>
      <c r="D5" s="6"/>
      <c r="E5" s="7"/>
      <c r="F5" s="245"/>
      <c r="G5" s="7"/>
      <c r="H5" s="379"/>
      <c r="I5" s="253"/>
      <c r="J5" s="92"/>
      <c r="K5" s="29"/>
      <c r="L5" s="105"/>
      <c r="M5" s="68"/>
      <c r="N5" s="173"/>
      <c r="O5" s="137"/>
      <c r="P5" s="12"/>
    </row>
    <row r="6" spans="1:16" ht="18.75">
      <c r="A6" s="203"/>
      <c r="B6" s="204"/>
      <c r="C6" s="223"/>
      <c r="D6" s="204"/>
      <c r="E6" s="205" t="s">
        <v>904</v>
      </c>
      <c r="F6" s="246"/>
      <c r="G6" s="204"/>
      <c r="H6" s="380"/>
      <c r="I6" s="254"/>
      <c r="J6" s="224"/>
      <c r="K6" s="225"/>
      <c r="L6" s="226">
        <f>SUM(O18)</f>
        <v>1011.5661643974388</v>
      </c>
      <c r="M6" s="223"/>
      <c r="N6" s="233"/>
      <c r="O6" s="227"/>
      <c r="P6" s="228"/>
    </row>
    <row r="7" spans="1:16" ht="15" customHeight="1">
      <c r="A7" s="327"/>
      <c r="B7" s="14" t="s">
        <v>907</v>
      </c>
      <c r="C7" s="335"/>
      <c r="D7" s="327" t="s">
        <v>17</v>
      </c>
      <c r="E7" s="327" t="s">
        <v>41</v>
      </c>
      <c r="F7" s="356" t="s">
        <v>19</v>
      </c>
      <c r="G7" s="327"/>
      <c r="H7" s="357" t="s">
        <v>886</v>
      </c>
      <c r="I7" s="356" t="s">
        <v>681</v>
      </c>
      <c r="J7" s="93" t="s">
        <v>26</v>
      </c>
      <c r="K7" s="60" t="s">
        <v>1184</v>
      </c>
      <c r="L7" s="106" t="s">
        <v>682</v>
      </c>
      <c r="M7" s="335" t="s">
        <v>678</v>
      </c>
      <c r="N7" s="165" t="s">
        <v>10</v>
      </c>
      <c r="O7" s="138" t="s">
        <v>15</v>
      </c>
      <c r="P7" s="361" t="s">
        <v>4</v>
      </c>
    </row>
    <row r="8" spans="1:16" ht="15" customHeight="1">
      <c r="A8" s="327"/>
      <c r="B8" s="14" t="s">
        <v>908</v>
      </c>
      <c r="C8" s="335" t="s">
        <v>181</v>
      </c>
      <c r="D8" s="327" t="s">
        <v>25</v>
      </c>
      <c r="E8" s="327"/>
      <c r="F8" s="356"/>
      <c r="G8" s="327"/>
      <c r="H8" s="357" t="s">
        <v>887</v>
      </c>
      <c r="I8" s="356" t="s">
        <v>18</v>
      </c>
      <c r="J8" s="93" t="s">
        <v>1038</v>
      </c>
      <c r="K8" s="60" t="s">
        <v>1298</v>
      </c>
      <c r="L8" s="106" t="s">
        <v>909</v>
      </c>
      <c r="M8" s="335" t="s">
        <v>680</v>
      </c>
      <c r="N8" s="165" t="s">
        <v>839</v>
      </c>
      <c r="O8" s="112" t="s">
        <v>884</v>
      </c>
      <c r="P8" s="361"/>
    </row>
    <row r="9" spans="1:16" ht="15" customHeight="1">
      <c r="A9" s="327"/>
      <c r="B9" s="14"/>
      <c r="C9" s="335"/>
      <c r="D9" s="327"/>
      <c r="E9" s="327"/>
      <c r="F9" s="356"/>
      <c r="G9" s="327"/>
      <c r="H9" s="347"/>
      <c r="I9" s="356"/>
      <c r="J9" s="93"/>
      <c r="K9" s="60"/>
      <c r="L9" s="106"/>
      <c r="M9" s="335"/>
      <c r="N9" s="165" t="s">
        <v>19</v>
      </c>
      <c r="O9" s="138"/>
      <c r="P9" s="361"/>
    </row>
    <row r="10" spans="1:16" ht="15" customHeight="1">
      <c r="A10" s="14" t="s">
        <v>939</v>
      </c>
      <c r="B10" s="14" t="s">
        <v>3</v>
      </c>
      <c r="C10" s="761" t="s">
        <v>53</v>
      </c>
      <c r="D10" s="439">
        <v>40544</v>
      </c>
      <c r="E10" s="14">
        <v>1</v>
      </c>
      <c r="F10" s="768">
        <v>1</v>
      </c>
      <c r="G10" s="502"/>
      <c r="H10" s="831"/>
      <c r="I10" s="763">
        <v>1</v>
      </c>
      <c r="J10" s="832">
        <f>SUM(I10-F10)*10000</f>
        <v>0</v>
      </c>
      <c r="K10" s="426">
        <f>SUM(100000/N10)/10000</f>
        <v>10</v>
      </c>
      <c r="L10" s="764" t="e">
        <f>SUM((I10-F10)/J10*K10)*E10</f>
        <v>#DIV/0!</v>
      </c>
      <c r="M10" s="761" t="s">
        <v>884</v>
      </c>
      <c r="N10" s="759">
        <v>1</v>
      </c>
      <c r="O10" s="833">
        <f>SUM(J10*K10)/N10</f>
        <v>0</v>
      </c>
      <c r="P10" s="361"/>
    </row>
    <row r="11" spans="1:16" ht="15" customHeight="1">
      <c r="A11" s="456" t="s">
        <v>940</v>
      </c>
      <c r="B11" s="456" t="s">
        <v>3</v>
      </c>
      <c r="C11" s="786" t="s">
        <v>78</v>
      </c>
      <c r="D11" s="787">
        <v>40544</v>
      </c>
      <c r="E11" s="456">
        <v>1</v>
      </c>
      <c r="F11" s="834">
        <v>1</v>
      </c>
      <c r="G11" s="789"/>
      <c r="H11" s="831"/>
      <c r="I11" s="790">
        <v>1</v>
      </c>
      <c r="J11" s="832">
        <f>SUM(F11-I11)*10000</f>
        <v>0</v>
      </c>
      <c r="K11" s="782">
        <f>SUM(100000/N11)/10000</f>
        <v>10</v>
      </c>
      <c r="L11" s="791" t="e">
        <f>SUM((F11-I11)/J11*K11)*E11</f>
        <v>#DIV/0!</v>
      </c>
      <c r="M11" s="786" t="s">
        <v>884</v>
      </c>
      <c r="N11" s="677">
        <v>1</v>
      </c>
      <c r="O11" s="833">
        <f>SUM(J11*K11)/N11</f>
        <v>0</v>
      </c>
      <c r="P11" s="276"/>
    </row>
    <row r="12" spans="1:16">
      <c r="A12" s="425"/>
      <c r="C12" s="761"/>
      <c r="D12" s="425"/>
      <c r="E12" s="425"/>
      <c r="F12" s="429"/>
      <c r="G12" s="425"/>
      <c r="H12" s="835"/>
      <c r="I12" s="429"/>
      <c r="J12" s="763"/>
      <c r="K12" s="426"/>
      <c r="L12" s="764"/>
      <c r="M12" s="760"/>
      <c r="N12" s="759"/>
      <c r="O12" s="833"/>
    </row>
    <row r="13" spans="1:16" ht="15" customHeight="1">
      <c r="A13" s="14" t="s">
        <v>1035</v>
      </c>
      <c r="B13" s="14" t="s">
        <v>3</v>
      </c>
      <c r="C13" s="761" t="s">
        <v>53</v>
      </c>
      <c r="D13" s="439">
        <v>41807</v>
      </c>
      <c r="E13" s="14">
        <v>1</v>
      </c>
      <c r="F13" s="768">
        <v>0.80020000000000002</v>
      </c>
      <c r="G13" s="502"/>
      <c r="H13" s="831">
        <v>0.79849999999999999</v>
      </c>
      <c r="I13" s="763">
        <v>0.80220000000000002</v>
      </c>
      <c r="J13" s="832">
        <f>SUM(I13-F13)*10000</f>
        <v>20.000000000000018</v>
      </c>
      <c r="K13" s="426">
        <f>SUM(100000/N13)/10000</f>
        <v>16.45548790521639</v>
      </c>
      <c r="L13" s="764">
        <f>SUM((I13-F13)/J13*K13)*E13</f>
        <v>1.6455487905216392E-3</v>
      </c>
      <c r="M13" s="761" t="s">
        <v>884</v>
      </c>
      <c r="N13" s="759">
        <v>0.60770000000000002</v>
      </c>
      <c r="O13" s="833">
        <f>SUM(J13*K13)/N13</f>
        <v>541.56616439744619</v>
      </c>
      <c r="P13" s="361"/>
    </row>
    <row r="14" spans="1:16" ht="15" customHeight="1">
      <c r="A14" s="456" t="s">
        <v>1037</v>
      </c>
      <c r="B14" s="456" t="s">
        <v>3</v>
      </c>
      <c r="C14" s="786" t="s">
        <v>78</v>
      </c>
      <c r="D14" s="787">
        <v>41808</v>
      </c>
      <c r="E14" s="456">
        <v>1</v>
      </c>
      <c r="F14" s="834">
        <v>1.5210999999999999</v>
      </c>
      <c r="G14" s="789"/>
      <c r="H14" s="831">
        <v>1.5230999999999999</v>
      </c>
      <c r="I14" s="790">
        <v>1.5164</v>
      </c>
      <c r="J14" s="832">
        <f>SUM(F14-I14)*10000</f>
        <v>46.999999999999261</v>
      </c>
      <c r="K14" s="782">
        <f>SUM(100000/N14)/10000</f>
        <v>10</v>
      </c>
      <c r="L14" s="791">
        <f>SUM((F14-I14)/J14*K14)*E14</f>
        <v>1E-3</v>
      </c>
      <c r="M14" s="786" t="s">
        <v>884</v>
      </c>
      <c r="N14" s="677">
        <v>1</v>
      </c>
      <c r="O14" s="833">
        <f>SUM(J14*K14)/N14</f>
        <v>469.99999999999261</v>
      </c>
      <c r="P14" s="276"/>
    </row>
    <row r="16" spans="1:16" ht="15" customHeight="1">
      <c r="A16" s="456"/>
      <c r="B16" s="456"/>
      <c r="C16" s="786"/>
      <c r="D16" s="787"/>
      <c r="E16" s="456"/>
      <c r="F16" s="834"/>
      <c r="G16" s="789"/>
      <c r="H16" s="831"/>
      <c r="I16" s="790"/>
      <c r="J16" s="832"/>
      <c r="K16" s="782"/>
      <c r="L16" s="791"/>
      <c r="M16" s="786"/>
      <c r="N16" s="677"/>
      <c r="O16" s="833"/>
      <c r="P16" s="276"/>
    </row>
    <row r="17" spans="1:16" ht="15" customHeight="1">
      <c r="A17" s="327"/>
      <c r="B17" s="14"/>
      <c r="C17" s="335"/>
      <c r="D17" s="357"/>
      <c r="E17" s="327"/>
      <c r="F17" s="93"/>
      <c r="G17" s="355"/>
      <c r="H17" s="311"/>
      <c r="I17" s="351"/>
      <c r="J17" s="315"/>
      <c r="K17" s="32"/>
      <c r="L17" s="339"/>
      <c r="M17" s="335"/>
      <c r="N17" s="345"/>
      <c r="O17" s="340"/>
      <c r="P17" s="361"/>
    </row>
    <row r="18" spans="1:16" ht="15" customHeight="1" thickBot="1">
      <c r="A18" s="35" t="s">
        <v>1279</v>
      </c>
      <c r="B18" s="35"/>
      <c r="C18" s="72"/>
      <c r="D18" s="35"/>
      <c r="E18" s="35"/>
      <c r="F18" s="248"/>
      <c r="G18" s="37"/>
      <c r="H18" s="381"/>
      <c r="I18" s="248"/>
      <c r="J18" s="95"/>
      <c r="K18" s="36"/>
      <c r="L18" s="108"/>
      <c r="M18" s="72"/>
      <c r="N18" s="168"/>
      <c r="O18" s="237">
        <f>SUM(O12:O17)</f>
        <v>1011.5661643974388</v>
      </c>
      <c r="P18" s="37"/>
    </row>
    <row r="19" spans="1:16" ht="15" customHeight="1" thickTop="1">
      <c r="A19" s="48"/>
      <c r="B19" s="48"/>
      <c r="C19" s="73"/>
      <c r="D19" s="48"/>
      <c r="E19" s="48"/>
      <c r="F19" s="249"/>
      <c r="G19" s="50"/>
      <c r="H19" s="378"/>
      <c r="I19" s="249"/>
      <c r="J19" s="96"/>
      <c r="K19" s="49"/>
      <c r="L19" s="109"/>
      <c r="M19" s="73"/>
      <c r="N19" s="169"/>
      <c r="O19" s="140"/>
      <c r="P19" s="50"/>
    </row>
    <row r="20" spans="1:16" ht="15" customHeight="1">
      <c r="A20" s="43"/>
      <c r="B20" s="478"/>
      <c r="C20" s="134"/>
      <c r="D20" s="44"/>
      <c r="E20" s="43"/>
      <c r="F20" s="250"/>
      <c r="G20" s="44"/>
      <c r="H20" s="382"/>
      <c r="I20" s="250"/>
      <c r="J20" s="97"/>
      <c r="K20" s="45"/>
      <c r="L20" s="110"/>
      <c r="M20" s="74"/>
      <c r="N20" s="170"/>
      <c r="O20" s="141"/>
      <c r="P20" s="44"/>
    </row>
    <row r="21" spans="1:16" ht="15" customHeight="1">
      <c r="A21" s="43"/>
      <c r="B21" s="478"/>
      <c r="C21" s="134"/>
      <c r="D21" s="43"/>
      <c r="E21" s="43"/>
      <c r="F21" s="250"/>
      <c r="G21" s="43"/>
      <c r="H21" s="382"/>
      <c r="I21" s="250"/>
      <c r="J21" s="97"/>
      <c r="K21" s="45"/>
      <c r="L21" s="110"/>
      <c r="M21" s="74"/>
      <c r="N21" s="170"/>
      <c r="O21" s="141"/>
      <c r="P21" s="44"/>
    </row>
    <row r="22" spans="1:16">
      <c r="A22" s="10"/>
      <c r="B22" s="484"/>
      <c r="C22" s="71"/>
      <c r="D22" s="10"/>
      <c r="E22" s="10"/>
      <c r="F22" s="247"/>
      <c r="G22" s="10"/>
      <c r="H22" s="145"/>
      <c r="I22" s="247"/>
      <c r="J22" s="94"/>
      <c r="K22" s="31"/>
      <c r="L22" s="107"/>
      <c r="M22" s="70"/>
      <c r="N22" s="167"/>
      <c r="O22" s="139"/>
      <c r="P22" s="9"/>
    </row>
    <row r="23" spans="1:16" ht="18.75">
      <c r="A23" s="200"/>
      <c r="B23" s="487"/>
      <c r="C23" s="219"/>
      <c r="D23" s="201"/>
      <c r="E23" s="201" t="s">
        <v>905</v>
      </c>
      <c r="F23" s="251"/>
      <c r="G23" s="201"/>
      <c r="H23" s="383"/>
      <c r="I23" s="251"/>
      <c r="J23" s="220"/>
      <c r="K23" s="221"/>
      <c r="L23" s="235">
        <f>O239</f>
        <v>-27169.626425211172</v>
      </c>
      <c r="M23" s="219"/>
      <c r="N23" s="230"/>
      <c r="O23" s="222"/>
      <c r="P23" s="201"/>
    </row>
    <row r="24" spans="1:16">
      <c r="A24" s="362"/>
      <c r="C24" s="335"/>
      <c r="D24" s="362"/>
      <c r="E24" s="362"/>
      <c r="F24" s="240"/>
      <c r="G24" s="362"/>
      <c r="I24" s="240"/>
      <c r="J24" s="351"/>
      <c r="K24" s="32"/>
      <c r="L24" s="339"/>
      <c r="M24" s="338"/>
      <c r="N24" s="345"/>
      <c r="O24" s="340"/>
      <c r="P24" s="334" t="s">
        <v>3</v>
      </c>
    </row>
    <row r="26" spans="1:16">
      <c r="A26" s="327"/>
      <c r="B26" s="14" t="s">
        <v>678</v>
      </c>
      <c r="C26" s="335"/>
      <c r="D26" s="327" t="s">
        <v>17</v>
      </c>
      <c r="E26" s="327" t="s">
        <v>41</v>
      </c>
      <c r="F26" s="356" t="s">
        <v>19</v>
      </c>
      <c r="G26" s="327"/>
      <c r="H26" s="357" t="s">
        <v>29</v>
      </c>
      <c r="I26" s="356" t="s">
        <v>681</v>
      </c>
      <c r="J26" s="93" t="s">
        <v>5</v>
      </c>
      <c r="K26" s="60" t="s">
        <v>1184</v>
      </c>
      <c r="L26" s="106" t="s">
        <v>682</v>
      </c>
      <c r="M26" s="335" t="s">
        <v>678</v>
      </c>
      <c r="N26" s="165" t="s">
        <v>10</v>
      </c>
      <c r="O26" s="112" t="s">
        <v>15</v>
      </c>
      <c r="P26" s="361" t="s">
        <v>1280</v>
      </c>
    </row>
    <row r="27" spans="1:16">
      <c r="A27" s="327"/>
      <c r="B27" s="14" t="s">
        <v>0</v>
      </c>
      <c r="C27" s="335" t="s">
        <v>181</v>
      </c>
      <c r="D27" s="327" t="s">
        <v>25</v>
      </c>
      <c r="E27" s="327"/>
      <c r="F27" s="356"/>
      <c r="G27" s="327"/>
      <c r="H27" s="357" t="s">
        <v>7</v>
      </c>
      <c r="I27" s="356" t="s">
        <v>18</v>
      </c>
      <c r="J27" s="93"/>
      <c r="K27" s="60" t="s">
        <v>1298</v>
      </c>
      <c r="L27" s="106" t="s">
        <v>683</v>
      </c>
      <c r="M27" s="335" t="s">
        <v>680</v>
      </c>
      <c r="N27" s="165" t="s">
        <v>14</v>
      </c>
      <c r="O27" s="112" t="s">
        <v>884</v>
      </c>
      <c r="P27" s="361"/>
    </row>
    <row r="28" spans="1:16" ht="15" customHeight="1">
      <c r="A28" s="362"/>
      <c r="C28" s="335"/>
      <c r="D28" s="347"/>
      <c r="E28" s="362"/>
      <c r="F28" s="240"/>
      <c r="G28" s="355"/>
      <c r="I28" s="240"/>
      <c r="J28" s="351"/>
      <c r="K28" s="32"/>
      <c r="L28" s="339"/>
      <c r="M28" s="338"/>
      <c r="N28" s="345"/>
      <c r="O28" s="340"/>
      <c r="P28" s="334"/>
    </row>
    <row r="29" spans="1:16" ht="15" customHeight="1">
      <c r="A29" s="327"/>
      <c r="B29" s="14"/>
      <c r="C29" s="335"/>
      <c r="D29" s="357"/>
      <c r="E29" s="327"/>
      <c r="F29" s="356"/>
      <c r="G29" s="355"/>
      <c r="H29" s="311"/>
      <c r="I29" s="240"/>
      <c r="J29" s="314"/>
      <c r="K29" s="32"/>
      <c r="L29" s="339"/>
      <c r="M29" s="335"/>
      <c r="N29" s="345"/>
      <c r="O29" s="340"/>
      <c r="P29" s="361"/>
    </row>
    <row r="30" spans="1:16" s="317" customFormat="1">
      <c r="A30" s="456" t="s">
        <v>1151</v>
      </c>
      <c r="B30" s="456" t="s">
        <v>3</v>
      </c>
      <c r="C30" s="786" t="s">
        <v>78</v>
      </c>
      <c r="D30" s="787">
        <v>41325</v>
      </c>
      <c r="E30" s="456">
        <v>1</v>
      </c>
      <c r="F30" s="834">
        <v>1.4903</v>
      </c>
      <c r="G30" s="789"/>
      <c r="H30" s="522">
        <v>41361</v>
      </c>
      <c r="I30" s="790">
        <f>1/0.6854</f>
        <v>1.4590020426028596</v>
      </c>
      <c r="J30" s="832">
        <f>SUM(F30-I30)*10000</f>
        <v>312.97957397140362</v>
      </c>
      <c r="K30" s="782">
        <f>SUM(100000/N30)/10000</f>
        <v>10.442</v>
      </c>
      <c r="L30" s="791">
        <f>SUM((F30-I30)/J30*K30)*E30</f>
        <v>1.0442000000000001E-3</v>
      </c>
      <c r="M30" s="761" t="s">
        <v>884</v>
      </c>
      <c r="N30" s="677">
        <f>1/1.0442</f>
        <v>0.95767094426355104</v>
      </c>
      <c r="O30" s="833">
        <f t="shared" ref="O30:O61" si="0">SUM(J30*K30)/N30</f>
        <v>3412.5841772536919</v>
      </c>
      <c r="P30" s="276"/>
    </row>
    <row r="31" spans="1:16">
      <c r="A31" s="14" t="s">
        <v>1035</v>
      </c>
      <c r="B31" s="14" t="s">
        <v>3</v>
      </c>
      <c r="C31" s="761" t="s">
        <v>53</v>
      </c>
      <c r="D31" s="439">
        <v>41325</v>
      </c>
      <c r="E31" s="14">
        <v>1</v>
      </c>
      <c r="F31" s="768">
        <v>0.87450000000000006</v>
      </c>
      <c r="G31" s="502"/>
      <c r="H31" s="543">
        <v>41326</v>
      </c>
      <c r="I31" s="763">
        <v>0.86419999999999997</v>
      </c>
      <c r="J31" s="832">
        <f>SUM(I31-F31)*10000</f>
        <v>-103.00000000000087</v>
      </c>
      <c r="K31" s="426">
        <f>SUM(100000/N31)/10000</f>
        <v>15.2326</v>
      </c>
      <c r="L31" s="764">
        <f>SUM((I31-F31)/J31*K31)*E31</f>
        <v>1.52326E-3</v>
      </c>
      <c r="M31" s="761" t="s">
        <v>884</v>
      </c>
      <c r="N31" s="759">
        <f>1/1.52326</f>
        <v>0.65648674553260766</v>
      </c>
      <c r="O31" s="833">
        <f t="shared" si="0"/>
        <v>-2389.9306584280203</v>
      </c>
      <c r="P31" s="276"/>
    </row>
    <row r="32" spans="1:16">
      <c r="A32" s="456" t="s">
        <v>1037</v>
      </c>
      <c r="B32" s="456" t="s">
        <v>3</v>
      </c>
      <c r="C32" s="786" t="s">
        <v>78</v>
      </c>
      <c r="D32" s="787">
        <v>41325</v>
      </c>
      <c r="E32" s="456">
        <v>1</v>
      </c>
      <c r="F32" s="834">
        <v>1.4133</v>
      </c>
      <c r="G32" s="789"/>
      <c r="H32" s="543">
        <v>41326</v>
      </c>
      <c r="I32" s="790">
        <v>1.4228000000000001</v>
      </c>
      <c r="J32" s="832">
        <f>SUM(F32-I32)*10000</f>
        <v>-95.000000000000639</v>
      </c>
      <c r="K32" s="782">
        <f t="shared" ref="K32:K41" si="1">SUM(100000/N32)/10000</f>
        <v>10.789348754909154</v>
      </c>
      <c r="L32" s="791">
        <f>SUM((F32-I32)/J32*K32)*E32</f>
        <v>1.0789348754909154E-3</v>
      </c>
      <c r="M32" s="761" t="s">
        <v>884</v>
      </c>
      <c r="N32" s="677">
        <v>0.92684</v>
      </c>
      <c r="O32" s="833">
        <f t="shared" si="0"/>
        <v>-1105.8954422730747</v>
      </c>
      <c r="P32" s="276"/>
    </row>
    <row r="33" spans="1:16" s="384" customFormat="1">
      <c r="A33" s="14" t="s">
        <v>1036</v>
      </c>
      <c r="B33" s="14" t="s">
        <v>3</v>
      </c>
      <c r="C33" s="761" t="s">
        <v>53</v>
      </c>
      <c r="D33" s="439">
        <v>41325</v>
      </c>
      <c r="E33" s="14">
        <v>1</v>
      </c>
      <c r="F33" s="768">
        <v>1.0124</v>
      </c>
      <c r="G33" s="502"/>
      <c r="H33" s="543">
        <v>41347</v>
      </c>
      <c r="I33" s="763">
        <v>1.0230999999999999</v>
      </c>
      <c r="J33" s="832">
        <f>SUM(I33-F33)*10000</f>
        <v>106.99999999999932</v>
      </c>
      <c r="K33" s="426">
        <f t="shared" si="1"/>
        <v>9.4517958412098295</v>
      </c>
      <c r="L33" s="764">
        <f>SUM((I33-F33)/J33*K33)*E33</f>
        <v>9.4517958412098301E-4</v>
      </c>
      <c r="M33" s="761" t="s">
        <v>884</v>
      </c>
      <c r="N33" s="759">
        <v>1.0580000000000001</v>
      </c>
      <c r="O33" s="833">
        <f t="shared" si="0"/>
        <v>955.89995747584612</v>
      </c>
      <c r="P33" s="276"/>
    </row>
    <row r="34" spans="1:16" s="385" customFormat="1">
      <c r="A34" s="514" t="s">
        <v>1151</v>
      </c>
      <c r="B34" s="514" t="s">
        <v>3</v>
      </c>
      <c r="C34" s="836" t="s">
        <v>78</v>
      </c>
      <c r="D34" s="837">
        <v>41330</v>
      </c>
      <c r="E34" s="514">
        <v>1</v>
      </c>
      <c r="F34" s="838">
        <v>1.4632000000000001</v>
      </c>
      <c r="G34" s="839"/>
      <c r="H34" s="525">
        <v>41359</v>
      </c>
      <c r="I34" s="840">
        <v>1.4782999999999999</v>
      </c>
      <c r="J34" s="841">
        <f>SUM(F34-I34)*10000</f>
        <v>-150.99999999999892</v>
      </c>
      <c r="K34" s="842">
        <f t="shared" si="1"/>
        <v>10.4634</v>
      </c>
      <c r="L34" s="843">
        <f>SUM((F34-I34)/J34*K34)*E34</f>
        <v>1.04634E-3</v>
      </c>
      <c r="M34" s="761" t="s">
        <v>884</v>
      </c>
      <c r="N34" s="844">
        <f>1/1.04634</f>
        <v>0.95571229237150446</v>
      </c>
      <c r="O34" s="845">
        <f t="shared" si="0"/>
        <v>-1653.1893673559882</v>
      </c>
      <c r="P34" s="276"/>
    </row>
    <row r="35" spans="1:16">
      <c r="A35" s="456" t="s">
        <v>1040</v>
      </c>
      <c r="B35" s="456" t="s">
        <v>3</v>
      </c>
      <c r="C35" s="786" t="s">
        <v>78</v>
      </c>
      <c r="D35" s="787">
        <v>41331</v>
      </c>
      <c r="E35" s="456">
        <v>1</v>
      </c>
      <c r="F35" s="834">
        <v>1.3083</v>
      </c>
      <c r="G35" s="789"/>
      <c r="H35" s="522">
        <v>41368</v>
      </c>
      <c r="I35" s="790">
        <v>1.2877000000000001</v>
      </c>
      <c r="J35" s="832">
        <f>SUM(F35-I35)*10000</f>
        <v>205.99999999999952</v>
      </c>
      <c r="K35" s="782">
        <f t="shared" si="1"/>
        <v>10</v>
      </c>
      <c r="L35" s="791">
        <f>SUM((F35-I35)/J35*K35)*E35</f>
        <v>1E-3</v>
      </c>
      <c r="M35" s="761" t="s">
        <v>884</v>
      </c>
      <c r="N35" s="677">
        <v>1</v>
      </c>
      <c r="O35" s="833">
        <f t="shared" si="0"/>
        <v>2059.999999999995</v>
      </c>
      <c r="P35" s="276"/>
    </row>
    <row r="36" spans="1:16" s="385" customFormat="1">
      <c r="A36" s="14" t="s">
        <v>1065</v>
      </c>
      <c r="B36" s="14" t="s">
        <v>3</v>
      </c>
      <c r="C36" s="761" t="s">
        <v>53</v>
      </c>
      <c r="D36" s="439">
        <v>41337</v>
      </c>
      <c r="E36" s="14">
        <v>1</v>
      </c>
      <c r="F36" s="768">
        <v>1.2471000000000001</v>
      </c>
      <c r="G36" s="502"/>
      <c r="H36" s="543">
        <v>41358</v>
      </c>
      <c r="I36" s="763">
        <v>1.2466999999999999</v>
      </c>
      <c r="J36" s="832">
        <f>SUM(I36-F36)*10000</f>
        <v>-4.0000000000017799</v>
      </c>
      <c r="K36" s="426">
        <f t="shared" si="1"/>
        <v>12.466999999999999</v>
      </c>
      <c r="L36" s="764">
        <f>SUM((I36-F36)/J36*K36)*E36</f>
        <v>1.2466999999999999E-3</v>
      </c>
      <c r="M36" s="761" t="s">
        <v>884</v>
      </c>
      <c r="N36" s="759">
        <f>1/I36</f>
        <v>0.80211759043875841</v>
      </c>
      <c r="O36" s="833">
        <f t="shared" si="0"/>
        <v>-62.170435600027652</v>
      </c>
      <c r="P36" s="276"/>
    </row>
    <row r="37" spans="1:16" s="385" customFormat="1">
      <c r="A37" s="456" t="s">
        <v>1064</v>
      </c>
      <c r="B37" s="456" t="s">
        <v>3</v>
      </c>
      <c r="C37" s="786" t="s">
        <v>78</v>
      </c>
      <c r="D37" s="787">
        <v>41337</v>
      </c>
      <c r="E37" s="456">
        <v>1</v>
      </c>
      <c r="F37" s="834">
        <v>1.0129999999999999</v>
      </c>
      <c r="G37" s="789"/>
      <c r="H37" s="522">
        <v>41337</v>
      </c>
      <c r="I37" s="790">
        <v>1.0175000000000001</v>
      </c>
      <c r="J37" s="832">
        <f>SUM(F37-I37)*10000</f>
        <v>-45.000000000001705</v>
      </c>
      <c r="K37" s="782">
        <f t="shared" si="1"/>
        <v>10</v>
      </c>
      <c r="L37" s="791">
        <f>SUM((F37-I37)/J37*K37)*E37</f>
        <v>1E-3</v>
      </c>
      <c r="M37" s="761" t="s">
        <v>884</v>
      </c>
      <c r="N37" s="677">
        <v>1</v>
      </c>
      <c r="O37" s="833">
        <f t="shared" si="0"/>
        <v>-450.00000000001705</v>
      </c>
      <c r="P37" s="276"/>
    </row>
    <row r="38" spans="1:16">
      <c r="A38" s="14" t="s">
        <v>1125</v>
      </c>
      <c r="B38" s="14" t="s">
        <v>3</v>
      </c>
      <c r="C38" s="761" t="s">
        <v>53</v>
      </c>
      <c r="D38" s="439">
        <v>41354</v>
      </c>
      <c r="E38" s="14">
        <v>1</v>
      </c>
      <c r="F38" s="768">
        <v>1.3022</v>
      </c>
      <c r="G38" s="502"/>
      <c r="H38" s="543">
        <v>41361</v>
      </c>
      <c r="I38" s="763">
        <v>1.2943</v>
      </c>
      <c r="J38" s="832">
        <f>SUM(I38-F38)*10000</f>
        <v>-79.000000000000185</v>
      </c>
      <c r="K38" s="426">
        <f t="shared" si="1"/>
        <v>8.0493262713910845</v>
      </c>
      <c r="L38" s="764">
        <f>SUM((I38-F38)/J38*K38)*E38</f>
        <v>8.049326271391084E-4</v>
      </c>
      <c r="M38" s="761" t="s">
        <v>884</v>
      </c>
      <c r="N38" s="759">
        <v>1.24234</v>
      </c>
      <c r="O38" s="833">
        <f t="shared" si="0"/>
        <v>-511.85406204412413</v>
      </c>
      <c r="P38" s="276"/>
    </row>
    <row r="39" spans="1:16">
      <c r="A39" s="456" t="s">
        <v>1124</v>
      </c>
      <c r="B39" s="456" t="s">
        <v>3</v>
      </c>
      <c r="C39" s="786" t="s">
        <v>78</v>
      </c>
      <c r="D39" s="787">
        <v>41359</v>
      </c>
      <c r="E39" s="456">
        <v>1</v>
      </c>
      <c r="F39" s="834">
        <v>1.2266999999999999</v>
      </c>
      <c r="G39" s="789"/>
      <c r="H39" s="522">
        <v>41368</v>
      </c>
      <c r="I39" s="790">
        <v>1.2329000000000001</v>
      </c>
      <c r="J39" s="832">
        <f>SUM(F39-I39)*10000</f>
        <v>-62.000000000002053</v>
      </c>
      <c r="K39" s="782">
        <f t="shared" si="1"/>
        <v>10.460100000000001</v>
      </c>
      <c r="L39" s="791">
        <f>SUM((F39-I39)/J39*K39)*E39</f>
        <v>1.0460100000000002E-3</v>
      </c>
      <c r="M39" s="761" t="s">
        <v>884</v>
      </c>
      <c r="N39" s="677">
        <f>1/1.04601</f>
        <v>0.95601380483934173</v>
      </c>
      <c r="O39" s="833">
        <f t="shared" si="0"/>
        <v>-678.36489046202257</v>
      </c>
      <c r="P39" s="276"/>
    </row>
    <row r="40" spans="1:16">
      <c r="A40" s="456" t="s">
        <v>1146</v>
      </c>
      <c r="B40" s="456" t="s">
        <v>3</v>
      </c>
      <c r="C40" s="786" t="s">
        <v>78</v>
      </c>
      <c r="D40" s="787">
        <v>41367</v>
      </c>
      <c r="E40" s="456">
        <v>1</v>
      </c>
      <c r="F40" s="834">
        <v>1.30084</v>
      </c>
      <c r="G40" s="789"/>
      <c r="H40" s="522">
        <v>41368</v>
      </c>
      <c r="I40" s="790">
        <v>1.3083</v>
      </c>
      <c r="J40" s="832">
        <f>SUM(F40-I40)*10000</f>
        <v>-74.600000000000222</v>
      </c>
      <c r="K40" s="782">
        <f t="shared" si="1"/>
        <v>9.8585300931631092</v>
      </c>
      <c r="L40" s="791">
        <f>SUM((F40-I40)/J40*K40)*E40</f>
        <v>9.8585300931631104E-4</v>
      </c>
      <c r="M40" s="761" t="s">
        <v>884</v>
      </c>
      <c r="N40" s="677">
        <v>1.0143500000000001</v>
      </c>
      <c r="O40" s="833">
        <f t="shared" si="0"/>
        <v>-725.04199235960971</v>
      </c>
      <c r="P40" s="361"/>
    </row>
    <row r="41" spans="1:16">
      <c r="A41" s="456" t="s">
        <v>1037</v>
      </c>
      <c r="B41" s="456" t="s">
        <v>3</v>
      </c>
      <c r="C41" s="786" t="s">
        <v>78</v>
      </c>
      <c r="D41" s="787">
        <v>41367</v>
      </c>
      <c r="E41" s="456">
        <v>1</v>
      </c>
      <c r="F41" s="834">
        <v>1.43296</v>
      </c>
      <c r="G41" s="789"/>
      <c r="H41" s="522">
        <v>41375</v>
      </c>
      <c r="I41" s="790">
        <v>1.4301999999999999</v>
      </c>
      <c r="J41" s="832">
        <f>SUM(F41-I41)*10000</f>
        <v>27.600000000000957</v>
      </c>
      <c r="K41" s="782">
        <f t="shared" si="1"/>
        <v>10.723860589812332</v>
      </c>
      <c r="L41" s="791">
        <f>SUM((F41-I41)/J41*K41)*E41</f>
        <v>1.0723860589812334E-3</v>
      </c>
      <c r="M41" s="761" t="s">
        <v>884</v>
      </c>
      <c r="N41" s="677">
        <v>0.9325</v>
      </c>
      <c r="O41" s="833">
        <f t="shared" si="0"/>
        <v>317.40327322126609</v>
      </c>
      <c r="P41" s="276"/>
    </row>
    <row r="42" spans="1:16">
      <c r="A42" s="514" t="s">
        <v>1147</v>
      </c>
      <c r="B42" s="514" t="s">
        <v>3</v>
      </c>
      <c r="C42" s="836" t="s">
        <v>78</v>
      </c>
      <c r="D42" s="837">
        <v>41368</v>
      </c>
      <c r="E42" s="514">
        <v>1</v>
      </c>
      <c r="F42" s="838">
        <v>78.296000000000006</v>
      </c>
      <c r="G42" s="839"/>
      <c r="H42" s="525">
        <v>41368</v>
      </c>
      <c r="I42" s="840">
        <v>78.968000000000004</v>
      </c>
      <c r="J42" s="841">
        <f>SUM(F42-I42)*10000</f>
        <v>-6719.9999999999709</v>
      </c>
      <c r="K42" s="842">
        <f>SUM(100000/N42)/100</f>
        <v>10.749105136997343</v>
      </c>
      <c r="L42" s="843">
        <f>SUM((F42-I42)/J42*K42)*E42</f>
        <v>1.0749105136997343E-3</v>
      </c>
      <c r="M42" s="761" t="s">
        <v>884</v>
      </c>
      <c r="N42" s="844">
        <v>93.031000000000006</v>
      </c>
      <c r="O42" s="845">
        <f t="shared" si="0"/>
        <v>-776.45071557461313</v>
      </c>
      <c r="P42" s="361"/>
    </row>
    <row r="43" spans="1:16">
      <c r="A43" s="14" t="s">
        <v>1148</v>
      </c>
      <c r="B43" s="14" t="s">
        <v>3</v>
      </c>
      <c r="C43" s="761" t="s">
        <v>53</v>
      </c>
      <c r="D43" s="439">
        <v>41373</v>
      </c>
      <c r="E43" s="14">
        <v>1</v>
      </c>
      <c r="F43" s="768">
        <v>1.0581</v>
      </c>
      <c r="G43" s="502"/>
      <c r="H43" s="522">
        <v>41376</v>
      </c>
      <c r="I43" s="763">
        <v>1.0637000000000001</v>
      </c>
      <c r="J43" s="832">
        <f>SUM(I43-F43)*10000</f>
        <v>56.000000000000497</v>
      </c>
      <c r="K43" s="426">
        <f t="shared" ref="K43:K61" si="2">SUM(100000/N43)/10000</f>
        <v>9.8998138834989913</v>
      </c>
      <c r="L43" s="764">
        <f>SUM((I43-F43)/J43*K43)*E43</f>
        <v>9.8998138834989913E-4</v>
      </c>
      <c r="M43" s="761" t="s">
        <v>884</v>
      </c>
      <c r="N43" s="759">
        <v>1.0101199999999999</v>
      </c>
      <c r="O43" s="833">
        <f t="shared" si="0"/>
        <v>548.83536359635332</v>
      </c>
      <c r="P43" s="276"/>
    </row>
    <row r="44" spans="1:16">
      <c r="A44" s="14" t="s">
        <v>1125</v>
      </c>
      <c r="B44" s="14" t="s">
        <v>3</v>
      </c>
      <c r="C44" s="761" t="s">
        <v>53</v>
      </c>
      <c r="D44" s="439">
        <v>41373</v>
      </c>
      <c r="E44" s="14">
        <v>1</v>
      </c>
      <c r="F44" s="768">
        <v>1.2936399999999999</v>
      </c>
      <c r="G44" s="502"/>
      <c r="H44" s="522">
        <v>41376</v>
      </c>
      <c r="I44" s="763">
        <v>1.2998000000000001</v>
      </c>
      <c r="J44" s="832">
        <f>SUM(I44-F44)*10000</f>
        <v>61.600000000001657</v>
      </c>
      <c r="K44" s="426">
        <f t="shared" si="2"/>
        <v>8.0851201448853534</v>
      </c>
      <c r="L44" s="764">
        <f>SUM((I44-F44)/J44*K44)*E44</f>
        <v>8.0851201448853532E-4</v>
      </c>
      <c r="M44" s="761" t="s">
        <v>884</v>
      </c>
      <c r="N44" s="759">
        <v>1.2368399999999999</v>
      </c>
      <c r="O44" s="833">
        <f t="shared" si="0"/>
        <v>402.67407338455354</v>
      </c>
      <c r="P44" s="276"/>
    </row>
    <row r="45" spans="1:16" s="317" customFormat="1">
      <c r="A45" s="14" t="s">
        <v>1064</v>
      </c>
      <c r="B45" s="14" t="s">
        <v>3</v>
      </c>
      <c r="C45" s="761" t="s">
        <v>53</v>
      </c>
      <c r="D45" s="439">
        <v>41373</v>
      </c>
      <c r="E45" s="14">
        <v>1</v>
      </c>
      <c r="F45" s="768">
        <v>1.0411699999999999</v>
      </c>
      <c r="G45" s="502"/>
      <c r="H45" s="522">
        <v>41376</v>
      </c>
      <c r="I45" s="763">
        <v>1.0497000000000001</v>
      </c>
      <c r="J45" s="832">
        <f>SUM(I45-F45)*10000</f>
        <v>85.300000000001489</v>
      </c>
      <c r="K45" s="426">
        <f t="shared" si="2"/>
        <v>10</v>
      </c>
      <c r="L45" s="764">
        <f>SUM((I45-F45)/J45*K45)*E45</f>
        <v>1E-3</v>
      </c>
      <c r="M45" s="761" t="s">
        <v>884</v>
      </c>
      <c r="N45" s="759">
        <v>1</v>
      </c>
      <c r="O45" s="833">
        <f t="shared" si="0"/>
        <v>853.00000000001489</v>
      </c>
      <c r="P45" s="276"/>
    </row>
    <row r="46" spans="1:16" ht="15" customHeight="1">
      <c r="A46" s="14" t="s">
        <v>1149</v>
      </c>
      <c r="B46" s="14" t="s">
        <v>3</v>
      </c>
      <c r="C46" s="761" t="s">
        <v>53</v>
      </c>
      <c r="D46" s="439">
        <v>41373</v>
      </c>
      <c r="E46" s="14">
        <v>1</v>
      </c>
      <c r="F46" s="768">
        <v>1.2167699999999999</v>
      </c>
      <c r="G46" s="502"/>
      <c r="H46" s="522">
        <v>41376</v>
      </c>
      <c r="I46" s="763">
        <v>1.2179</v>
      </c>
      <c r="J46" s="832">
        <f>SUM(I46-F46)*10000</f>
        <v>11.300000000000754</v>
      </c>
      <c r="K46" s="426">
        <f t="shared" si="2"/>
        <v>10.745639956587613</v>
      </c>
      <c r="L46" s="764">
        <f>SUM((I46-F46)/J46*K46)*E46</f>
        <v>1.0745639956587613E-3</v>
      </c>
      <c r="M46" s="761" t="s">
        <v>884</v>
      </c>
      <c r="N46" s="759">
        <v>0.93061000000000005</v>
      </c>
      <c r="O46" s="833">
        <f t="shared" si="0"/>
        <v>130.47971922658056</v>
      </c>
      <c r="P46" s="276"/>
    </row>
    <row r="47" spans="1:16" ht="15" customHeight="1">
      <c r="A47" s="14" t="s">
        <v>1150</v>
      </c>
      <c r="B47" s="14" t="s">
        <v>3</v>
      </c>
      <c r="C47" s="761" t="s">
        <v>53</v>
      </c>
      <c r="D47" s="439">
        <v>41374</v>
      </c>
      <c r="E47" s="14">
        <v>1</v>
      </c>
      <c r="F47" s="768">
        <v>0.97777000000000003</v>
      </c>
      <c r="G47" s="502"/>
      <c r="H47" s="522">
        <v>41376</v>
      </c>
      <c r="I47" s="763">
        <v>0.97970000000000002</v>
      </c>
      <c r="J47" s="832">
        <f>SUM(I47-F47)*10000</f>
        <v>19.299999999999873</v>
      </c>
      <c r="K47" s="426">
        <f t="shared" si="2"/>
        <v>10.745639956587613</v>
      </c>
      <c r="L47" s="764">
        <f>SUM((I47-F47)/J47*K47)*E47</f>
        <v>1.0745639956587613E-3</v>
      </c>
      <c r="M47" s="761" t="s">
        <v>884</v>
      </c>
      <c r="N47" s="759">
        <v>0.93061000000000005</v>
      </c>
      <c r="O47" s="833">
        <f t="shared" si="0"/>
        <v>222.85474168786018</v>
      </c>
      <c r="P47" s="276"/>
    </row>
    <row r="48" spans="1:16" ht="15" customHeight="1">
      <c r="A48" s="456" t="s">
        <v>1151</v>
      </c>
      <c r="B48" s="456" t="s">
        <v>3</v>
      </c>
      <c r="C48" s="786" t="s">
        <v>78</v>
      </c>
      <c r="D48" s="787">
        <v>41374</v>
      </c>
      <c r="E48" s="456">
        <v>1</v>
      </c>
      <c r="F48" s="834">
        <v>1.4605399999999999</v>
      </c>
      <c r="G48" s="789"/>
      <c r="H48" s="522">
        <v>41376</v>
      </c>
      <c r="I48" s="790">
        <v>1.4588399999999999</v>
      </c>
      <c r="J48" s="832">
        <f>SUM(F48-I48)*10000</f>
        <v>17.000000000000348</v>
      </c>
      <c r="K48" s="782">
        <f t="shared" si="2"/>
        <v>10.543200000000001</v>
      </c>
      <c r="L48" s="791">
        <f>SUM((F48-I48)/J48*K48)*E48</f>
        <v>1.0543200000000001E-3</v>
      </c>
      <c r="M48" s="761" t="s">
        <v>884</v>
      </c>
      <c r="N48" s="677">
        <f>1/1.05432</f>
        <v>0.94847864026102136</v>
      </c>
      <c r="O48" s="833">
        <f t="shared" si="0"/>
        <v>188.97041260800387</v>
      </c>
      <c r="P48" s="276"/>
    </row>
    <row r="49" spans="1:16" ht="15" customHeight="1">
      <c r="A49" s="456" t="s">
        <v>1036</v>
      </c>
      <c r="B49" s="456" t="s">
        <v>3</v>
      </c>
      <c r="C49" s="786" t="s">
        <v>78</v>
      </c>
      <c r="D49" s="787">
        <v>41374</v>
      </c>
      <c r="E49" s="456">
        <v>1</v>
      </c>
      <c r="F49" s="834">
        <v>1.0161199999999999</v>
      </c>
      <c r="G49" s="789"/>
      <c r="H49" s="522">
        <v>41379</v>
      </c>
      <c r="I49" s="790">
        <v>1.0143</v>
      </c>
      <c r="J49" s="832">
        <f>SUM(F49-I49)*10000</f>
        <v>18.199999999999328</v>
      </c>
      <c r="K49" s="782">
        <f t="shared" si="2"/>
        <v>9.8590160701961942</v>
      </c>
      <c r="L49" s="791">
        <f>SUM((F49-I49)/J49*K49)*E49</f>
        <v>9.8590160701961943E-4</v>
      </c>
      <c r="M49" s="761" t="s">
        <v>884</v>
      </c>
      <c r="N49" s="677">
        <f>I49</f>
        <v>1.0143</v>
      </c>
      <c r="O49" s="833">
        <f t="shared" si="0"/>
        <v>176.90436012773748</v>
      </c>
      <c r="P49" s="276"/>
    </row>
    <row r="50" spans="1:16" ht="15" customHeight="1">
      <c r="A50" s="456" t="s">
        <v>1124</v>
      </c>
      <c r="B50" s="456" t="s">
        <v>3</v>
      </c>
      <c r="C50" s="786" t="s">
        <v>78</v>
      </c>
      <c r="D50" s="787">
        <v>41375</v>
      </c>
      <c r="E50" s="456">
        <v>1</v>
      </c>
      <c r="F50" s="834">
        <v>1.2397100000000001</v>
      </c>
      <c r="G50" s="789"/>
      <c r="H50" s="522">
        <v>41376</v>
      </c>
      <c r="I50" s="790">
        <v>1.2446999999999999</v>
      </c>
      <c r="J50" s="832">
        <f>SUM(F50-I50)*10000</f>
        <v>-49.899999999998279</v>
      </c>
      <c r="K50" s="782">
        <f t="shared" si="2"/>
        <v>10.543200000000001</v>
      </c>
      <c r="L50" s="791">
        <f>SUM((F50-I50)/J50*K50)*E50</f>
        <v>1.0543200000000001E-3</v>
      </c>
      <c r="M50" s="761" t="s">
        <v>884</v>
      </c>
      <c r="N50" s="677">
        <f>1/1.05432</f>
        <v>0.94847864026102136</v>
      </c>
      <c r="O50" s="833">
        <f t="shared" si="0"/>
        <v>-554.68374053758089</v>
      </c>
      <c r="P50" s="276"/>
    </row>
    <row r="51" spans="1:16" ht="15" customHeight="1">
      <c r="A51" s="456" t="s">
        <v>1146</v>
      </c>
      <c r="B51" s="456" t="s">
        <v>3</v>
      </c>
      <c r="C51" s="786" t="s">
        <v>78</v>
      </c>
      <c r="D51" s="787">
        <v>41376</v>
      </c>
      <c r="E51" s="456">
        <v>1</v>
      </c>
      <c r="F51" s="834">
        <v>1.32338</v>
      </c>
      <c r="G51" s="789"/>
      <c r="H51" s="522">
        <v>41379</v>
      </c>
      <c r="I51" s="790">
        <v>1.3309</v>
      </c>
      <c r="J51" s="832">
        <f>SUM(F51-I51)*10000</f>
        <v>-75.199999999999704</v>
      </c>
      <c r="K51" s="782">
        <f t="shared" si="2"/>
        <v>9.8605715187252247</v>
      </c>
      <c r="L51" s="791">
        <f>SUM((F51-I51)/J51*K51)*E51</f>
        <v>9.8605715187252262E-4</v>
      </c>
      <c r="M51" s="761" t="s">
        <v>884</v>
      </c>
      <c r="N51" s="677">
        <v>1.01414</v>
      </c>
      <c r="O51" s="833">
        <f t="shared" si="0"/>
        <v>-731.1761474827282</v>
      </c>
      <c r="P51" s="276"/>
    </row>
    <row r="52" spans="1:16" ht="15" customHeight="1">
      <c r="A52" s="456" t="s">
        <v>1035</v>
      </c>
      <c r="B52" s="456" t="s">
        <v>3</v>
      </c>
      <c r="C52" s="786" t="s">
        <v>78</v>
      </c>
      <c r="D52" s="787">
        <v>41376</v>
      </c>
      <c r="E52" s="456">
        <v>1</v>
      </c>
      <c r="F52" s="834">
        <v>0.85133000000000003</v>
      </c>
      <c r="G52" s="789"/>
      <c r="H52" s="522">
        <v>41379</v>
      </c>
      <c r="I52" s="790">
        <v>0.8548</v>
      </c>
      <c r="J52" s="832">
        <f>SUM(F52-I52)*10000</f>
        <v>-34.699999999999733</v>
      </c>
      <c r="K52" s="782">
        <f t="shared" si="2"/>
        <v>15.34</v>
      </c>
      <c r="L52" s="791">
        <f>SUM((F52-I52)/J52*K52)*E52</f>
        <v>1.5339999999999998E-3</v>
      </c>
      <c r="M52" s="761" t="s">
        <v>884</v>
      </c>
      <c r="N52" s="677">
        <f>1/1.534</f>
        <v>0.65189048239895697</v>
      </c>
      <c r="O52" s="833">
        <f t="shared" si="0"/>
        <v>-816.54513199999371</v>
      </c>
      <c r="P52" s="276"/>
    </row>
    <row r="53" spans="1:16" s="317" customFormat="1" ht="15" customHeight="1">
      <c r="A53" s="14" t="s">
        <v>1151</v>
      </c>
      <c r="B53" s="14" t="s">
        <v>3</v>
      </c>
      <c r="C53" s="761" t="s">
        <v>53</v>
      </c>
      <c r="D53" s="439">
        <v>41376</v>
      </c>
      <c r="E53" s="14">
        <v>1</v>
      </c>
      <c r="F53" s="768">
        <v>1.45902</v>
      </c>
      <c r="G53" s="502"/>
      <c r="H53" s="522">
        <v>41381</v>
      </c>
      <c r="I53" s="763">
        <v>1.4741</v>
      </c>
      <c r="J53" s="832">
        <f>SUM(I53-F53)*10000</f>
        <v>150.79999999999981</v>
      </c>
      <c r="K53" s="426">
        <f t="shared" si="2"/>
        <v>10.388900000000001</v>
      </c>
      <c r="L53" s="764">
        <f>SUM((I53-F53)/J53*K53)*E53</f>
        <v>1.0388900000000002E-3</v>
      </c>
      <c r="M53" s="761" t="s">
        <v>884</v>
      </c>
      <c r="N53" s="759">
        <f>1/1.03889</f>
        <v>0.96256581543763042</v>
      </c>
      <c r="O53" s="833">
        <f t="shared" si="0"/>
        <v>1627.5729876067985</v>
      </c>
      <c r="P53" s="276"/>
    </row>
    <row r="54" spans="1:16" ht="15" customHeight="1">
      <c r="A54" s="14" t="s">
        <v>1037</v>
      </c>
      <c r="B54" s="14" t="s">
        <v>3</v>
      </c>
      <c r="C54" s="761" t="s">
        <v>53</v>
      </c>
      <c r="D54" s="439">
        <v>41376</v>
      </c>
      <c r="E54" s="14">
        <v>1</v>
      </c>
      <c r="F54" s="768">
        <v>1.43211</v>
      </c>
      <c r="G54" s="502"/>
      <c r="H54" s="522">
        <v>41376</v>
      </c>
      <c r="I54" s="763">
        <v>1.4236</v>
      </c>
      <c r="J54" s="832">
        <f>SUM(I54-F54)*10000</f>
        <v>-85.100000000000179</v>
      </c>
      <c r="K54" s="426">
        <f t="shared" si="2"/>
        <v>10.745639956587613</v>
      </c>
      <c r="L54" s="764">
        <f>SUM((I54-F54)/J54*K54)*E54</f>
        <v>1.0745639956587613E-3</v>
      </c>
      <c r="M54" s="761" t="s">
        <v>884</v>
      </c>
      <c r="N54" s="759">
        <v>0.93061000000000005</v>
      </c>
      <c r="O54" s="833">
        <f t="shared" si="0"/>
        <v>-982.63930143197229</v>
      </c>
      <c r="P54" s="276"/>
    </row>
    <row r="55" spans="1:16" ht="15" customHeight="1">
      <c r="A55" s="514" t="s">
        <v>1035</v>
      </c>
      <c r="B55" s="514" t="s">
        <v>3</v>
      </c>
      <c r="C55" s="836" t="s">
        <v>78</v>
      </c>
      <c r="D55" s="837">
        <v>41376</v>
      </c>
      <c r="E55" s="514">
        <v>1</v>
      </c>
      <c r="F55" s="838">
        <v>0.85145999999999999</v>
      </c>
      <c r="G55" s="839"/>
      <c r="H55" s="525">
        <v>41380</v>
      </c>
      <c r="I55" s="840">
        <f>1/1.1693</f>
        <v>0.85521252031129735</v>
      </c>
      <c r="J55" s="841">
        <f>SUM(F55-I55)*10000</f>
        <v>-37.525203112973585</v>
      </c>
      <c r="K55" s="842">
        <f t="shared" si="2"/>
        <v>15.217000000000001</v>
      </c>
      <c r="L55" s="843">
        <f>SUM((F55-I55)/J55*K55)*E55</f>
        <v>1.5217E-3</v>
      </c>
      <c r="M55" s="761" t="s">
        <v>884</v>
      </c>
      <c r="N55" s="844">
        <f>1/1.5217</f>
        <v>0.65715975553657091</v>
      </c>
      <c r="O55" s="845">
        <f t="shared" si="0"/>
        <v>-868.92267969739032</v>
      </c>
      <c r="P55" s="276"/>
    </row>
    <row r="56" spans="1:16" ht="15" customHeight="1">
      <c r="A56" s="456" t="s">
        <v>1040</v>
      </c>
      <c r="B56" s="456" t="s">
        <v>3</v>
      </c>
      <c r="C56" s="786" t="s">
        <v>78</v>
      </c>
      <c r="D56" s="787">
        <v>41380</v>
      </c>
      <c r="E56" s="456">
        <v>1</v>
      </c>
      <c r="F56" s="834">
        <v>1.30339</v>
      </c>
      <c r="G56" s="789"/>
      <c r="H56" s="522">
        <v>41380</v>
      </c>
      <c r="I56" s="790">
        <v>1.3137799999999999</v>
      </c>
      <c r="J56" s="832">
        <f>SUM(F56-I56)*10000</f>
        <v>-103.899999999999</v>
      </c>
      <c r="K56" s="782">
        <f t="shared" si="2"/>
        <v>10</v>
      </c>
      <c r="L56" s="791">
        <f>SUM((F56-I56)/J56*K56)*E56</f>
        <v>1E-3</v>
      </c>
      <c r="M56" s="761" t="s">
        <v>884</v>
      </c>
      <c r="N56" s="677">
        <v>1</v>
      </c>
      <c r="O56" s="833">
        <f t="shared" si="0"/>
        <v>-1038.99999999999</v>
      </c>
      <c r="P56" s="276"/>
    </row>
    <row r="57" spans="1:16" s="317" customFormat="1" ht="15" customHeight="1">
      <c r="A57" s="456" t="s">
        <v>1037</v>
      </c>
      <c r="B57" s="456" t="s">
        <v>3</v>
      </c>
      <c r="C57" s="786" t="s">
        <v>78</v>
      </c>
      <c r="D57" s="787">
        <v>41380</v>
      </c>
      <c r="E57" s="456">
        <v>1</v>
      </c>
      <c r="F57" s="834">
        <v>1.4231799999999999</v>
      </c>
      <c r="G57" s="789"/>
      <c r="H57" s="522">
        <v>41382</v>
      </c>
      <c r="I57" s="790">
        <v>1.4222999999999999</v>
      </c>
      <c r="J57" s="832">
        <f>SUM(F57-I57)*10000</f>
        <v>8.799999999999919</v>
      </c>
      <c r="K57" s="782">
        <f t="shared" si="2"/>
        <v>10.722480753147048</v>
      </c>
      <c r="L57" s="791">
        <f>SUM((F57-I57)/J57*K57)*E57</f>
        <v>1.0722480753147048E-3</v>
      </c>
      <c r="M57" s="761" t="s">
        <v>884</v>
      </c>
      <c r="N57" s="677">
        <v>0.93262</v>
      </c>
      <c r="O57" s="833">
        <f t="shared" si="0"/>
        <v>101.17500228141488</v>
      </c>
      <c r="P57" s="276"/>
    </row>
    <row r="58" spans="1:16" s="317" customFormat="1" ht="15" customHeight="1">
      <c r="A58" s="456" t="s">
        <v>1152</v>
      </c>
      <c r="B58" s="456" t="s">
        <v>3</v>
      </c>
      <c r="C58" s="786" t="s">
        <v>78</v>
      </c>
      <c r="D58" s="787">
        <v>41380</v>
      </c>
      <c r="E58" s="456">
        <v>1</v>
      </c>
      <c r="F58" s="834">
        <v>1.5282500000000001</v>
      </c>
      <c r="G58" s="789"/>
      <c r="H58" s="522">
        <v>41389</v>
      </c>
      <c r="I58" s="790">
        <v>1.5363</v>
      </c>
      <c r="J58" s="832">
        <f>SUM(F58-I58)*10000</f>
        <v>-80.499999999998906</v>
      </c>
      <c r="K58" s="782">
        <f t="shared" si="2"/>
        <v>10</v>
      </c>
      <c r="L58" s="791">
        <f>SUM((F58-I58)/J58*K58)*E58</f>
        <v>1E-3</v>
      </c>
      <c r="M58" s="761" t="s">
        <v>884</v>
      </c>
      <c r="N58" s="677">
        <v>1</v>
      </c>
      <c r="O58" s="833">
        <f t="shared" si="0"/>
        <v>-804.99999999998909</v>
      </c>
      <c r="P58" s="276"/>
    </row>
    <row r="59" spans="1:16" ht="15" customHeight="1">
      <c r="A59" s="14" t="s">
        <v>1065</v>
      </c>
      <c r="B59" s="14" t="s">
        <v>3</v>
      </c>
      <c r="C59" s="761" t="s">
        <v>53</v>
      </c>
      <c r="D59" s="439">
        <v>41380</v>
      </c>
      <c r="E59" s="14">
        <v>1</v>
      </c>
      <c r="F59" s="768">
        <v>1.2388699999999999</v>
      </c>
      <c r="G59" s="502"/>
      <c r="H59" s="522">
        <v>41380</v>
      </c>
      <c r="I59" s="763">
        <v>1.2349399999999999</v>
      </c>
      <c r="J59" s="832">
        <f>SUM(I59-F59)*10000</f>
        <v>-39.299999999999891</v>
      </c>
      <c r="K59" s="426">
        <f t="shared" si="2"/>
        <v>8.097559395598168</v>
      </c>
      <c r="L59" s="764">
        <f>SUM((I59-F59)/J59*K59)*E59</f>
        <v>8.0975593955981689E-4</v>
      </c>
      <c r="M59" s="761" t="s">
        <v>884</v>
      </c>
      <c r="N59" s="759">
        <f>I59</f>
        <v>1.2349399999999999</v>
      </c>
      <c r="O59" s="833">
        <f t="shared" si="0"/>
        <v>-257.6919398893931</v>
      </c>
      <c r="P59" s="276"/>
    </row>
    <row r="60" spans="1:16" s="317" customFormat="1" ht="15" customHeight="1">
      <c r="A60" s="14" t="s">
        <v>1154</v>
      </c>
      <c r="B60" s="14" t="s">
        <v>3</v>
      </c>
      <c r="C60" s="761" t="s">
        <v>53</v>
      </c>
      <c r="D60" s="439">
        <v>41383</v>
      </c>
      <c r="E60" s="14">
        <v>1</v>
      </c>
      <c r="F60" s="768">
        <v>1.22444</v>
      </c>
      <c r="G60" s="502"/>
      <c r="H60" s="522">
        <v>41386</v>
      </c>
      <c r="I60" s="763">
        <v>1.2175</v>
      </c>
      <c r="J60" s="832">
        <f>SUM(I60-F60)*10000</f>
        <v>-69.399999999999466</v>
      </c>
      <c r="K60" s="426">
        <f t="shared" si="2"/>
        <v>8.3983000000000008</v>
      </c>
      <c r="L60" s="764">
        <f>SUM((I60-F60)/J60*K60)*E60</f>
        <v>8.3982999999999996E-4</v>
      </c>
      <c r="M60" s="761" t="s">
        <v>884</v>
      </c>
      <c r="N60" s="759">
        <f>1/0.83983</f>
        <v>1.1907171689508591</v>
      </c>
      <c r="O60" s="833">
        <f t="shared" si="0"/>
        <v>-489.48821365659632</v>
      </c>
      <c r="P60" s="276"/>
    </row>
    <row r="61" spans="1:16" ht="15" customHeight="1">
      <c r="A61" s="14" t="s">
        <v>1155</v>
      </c>
      <c r="B61" s="14" t="s">
        <v>3</v>
      </c>
      <c r="C61" s="761" t="s">
        <v>53</v>
      </c>
      <c r="D61" s="439">
        <v>41383</v>
      </c>
      <c r="E61" s="14">
        <v>1</v>
      </c>
      <c r="F61" s="768">
        <v>0.90842999999999996</v>
      </c>
      <c r="G61" s="502"/>
      <c r="H61" s="522">
        <v>41390</v>
      </c>
      <c r="I61" s="763">
        <v>0.92130000000000001</v>
      </c>
      <c r="J61" s="832">
        <f>SUM(I61-F61)*10000</f>
        <v>128.70000000000047</v>
      </c>
      <c r="K61" s="426">
        <f t="shared" si="2"/>
        <v>10.586267493807034</v>
      </c>
      <c r="L61" s="764">
        <f>SUM((I61-F61)/J61*K61)*E61</f>
        <v>1.0586267493807033E-3</v>
      </c>
      <c r="M61" s="761" t="s">
        <v>884</v>
      </c>
      <c r="N61" s="759">
        <v>0.94462000000000002</v>
      </c>
      <c r="O61" s="833">
        <f t="shared" si="0"/>
        <v>1442.3287951271095</v>
      </c>
      <c r="P61" s="276"/>
    </row>
    <row r="62" spans="1:16" ht="15" customHeight="1">
      <c r="A62" s="14" t="s">
        <v>1156</v>
      </c>
      <c r="B62" s="14" t="s">
        <v>3</v>
      </c>
      <c r="C62" s="761" t="s">
        <v>53</v>
      </c>
      <c r="D62" s="439">
        <v>41383</v>
      </c>
      <c r="E62" s="14">
        <v>1</v>
      </c>
      <c r="F62" s="768">
        <v>95.655000000000001</v>
      </c>
      <c r="G62" s="502"/>
      <c r="H62" s="522">
        <v>41390</v>
      </c>
      <c r="I62" s="763">
        <v>96.58</v>
      </c>
      <c r="J62" s="832">
        <f>SUM(I62-F62)*10000</f>
        <v>9249.9999999999709</v>
      </c>
      <c r="K62" s="426">
        <f>SUM(100000/N62)/100</f>
        <v>10.077191285244977</v>
      </c>
      <c r="L62" s="764">
        <f>SUM((I62-F62)/J62*K62)*E62</f>
        <v>1.0077191285244977E-3</v>
      </c>
      <c r="M62" s="761" t="s">
        <v>884</v>
      </c>
      <c r="N62" s="759">
        <v>99.233999999999995</v>
      </c>
      <c r="O62" s="833">
        <f t="shared" ref="O62:O93" si="3">SUM(J62*K62)/N62</f>
        <v>939.33550384460727</v>
      </c>
      <c r="P62" s="276"/>
    </row>
    <row r="63" spans="1:16" ht="15" customHeight="1">
      <c r="A63" s="456" t="s">
        <v>1040</v>
      </c>
      <c r="B63" s="456" t="s">
        <v>3</v>
      </c>
      <c r="C63" s="786" t="s">
        <v>78</v>
      </c>
      <c r="D63" s="787">
        <v>41383</v>
      </c>
      <c r="E63" s="456">
        <v>1</v>
      </c>
      <c r="F63" s="834">
        <v>1.30304</v>
      </c>
      <c r="G63" s="789"/>
      <c r="H63" s="522">
        <v>41389</v>
      </c>
      <c r="I63" s="790">
        <v>1.3070999999999999</v>
      </c>
      <c r="J63" s="832">
        <f>SUM(F63-I63)*10000</f>
        <v>-40.599999999999525</v>
      </c>
      <c r="K63" s="782">
        <f>SUM(100000/N63)/10000</f>
        <v>10</v>
      </c>
      <c r="L63" s="791">
        <f>SUM((F63-I63)/J63*K63)*E63</f>
        <v>1E-3</v>
      </c>
      <c r="M63" s="761" t="s">
        <v>884</v>
      </c>
      <c r="N63" s="677">
        <v>1</v>
      </c>
      <c r="O63" s="833">
        <f t="shared" si="3"/>
        <v>-405.99999999999523</v>
      </c>
      <c r="P63" s="276"/>
    </row>
    <row r="64" spans="1:16" ht="15" customHeight="1">
      <c r="A64" s="14" t="s">
        <v>1037</v>
      </c>
      <c r="B64" s="14" t="s">
        <v>3</v>
      </c>
      <c r="C64" s="761" t="s">
        <v>53</v>
      </c>
      <c r="D64" s="439">
        <v>41383</v>
      </c>
      <c r="E64" s="14">
        <v>1</v>
      </c>
      <c r="F64" s="768">
        <v>1.42475</v>
      </c>
      <c r="G64" s="502"/>
      <c r="H64" s="522">
        <v>41394</v>
      </c>
      <c r="I64" s="763">
        <v>1.45126</v>
      </c>
      <c r="J64" s="832">
        <f>SUM(I64-F64)*10000</f>
        <v>265.10000000000036</v>
      </c>
      <c r="K64" s="426">
        <f>SUM(100000/N64)/10000</f>
        <v>10.682505261133841</v>
      </c>
      <c r="L64" s="764">
        <f>SUM((I64-F64)/J64*K64)*E64</f>
        <v>1.068250526113384E-3</v>
      </c>
      <c r="M64" s="761" t="s">
        <v>884</v>
      </c>
      <c r="N64" s="759">
        <v>0.93611</v>
      </c>
      <c r="O64" s="833">
        <f t="shared" si="3"/>
        <v>3025.2130035215787</v>
      </c>
      <c r="P64" s="276"/>
    </row>
    <row r="65" spans="1:16" ht="15" customHeight="1">
      <c r="A65" s="14" t="s">
        <v>1157</v>
      </c>
      <c r="B65" s="14" t="s">
        <v>3</v>
      </c>
      <c r="C65" s="761" t="s">
        <v>53</v>
      </c>
      <c r="D65" s="439">
        <v>41383</v>
      </c>
      <c r="E65" s="14">
        <v>1</v>
      </c>
      <c r="F65" s="768">
        <v>149.94800000000001</v>
      </c>
      <c r="G65" s="502"/>
      <c r="H65" s="522">
        <v>41390</v>
      </c>
      <c r="I65" s="763">
        <v>151.42099999999999</v>
      </c>
      <c r="J65" s="832">
        <f>SUM(I65-F65)*10000</f>
        <v>14729.999999999847</v>
      </c>
      <c r="K65" s="426">
        <f>SUM(100000/N65)/100</f>
        <v>10.077191285244977</v>
      </c>
      <c r="L65" s="764">
        <f>SUM((I65-F65)/J65*K65)*E65</f>
        <v>1.0077191285244977E-3</v>
      </c>
      <c r="M65" s="761" t="s">
        <v>884</v>
      </c>
      <c r="N65" s="759">
        <v>99.233999999999995</v>
      </c>
      <c r="O65" s="833">
        <f t="shared" si="3"/>
        <v>1495.8283212574015</v>
      </c>
      <c r="P65" s="276"/>
    </row>
    <row r="66" spans="1:16" s="317" customFormat="1" ht="15" customHeight="1">
      <c r="A66" s="14" t="s">
        <v>1153</v>
      </c>
      <c r="B66" s="14" t="s">
        <v>3</v>
      </c>
      <c r="C66" s="761" t="s">
        <v>53</v>
      </c>
      <c r="D66" s="439">
        <v>41383</v>
      </c>
      <c r="E66" s="14">
        <v>1</v>
      </c>
      <c r="F66" s="768">
        <v>0.93269999999999997</v>
      </c>
      <c r="G66" s="502"/>
      <c r="H66" s="522">
        <v>41389</v>
      </c>
      <c r="I66" s="763">
        <v>0.94430000000000003</v>
      </c>
      <c r="J66" s="832">
        <f>SUM(I66-F66)*10000</f>
        <v>116.00000000000054</v>
      </c>
      <c r="K66" s="426">
        <f>SUM(100000/N66)/10000</f>
        <v>10.58985491898761</v>
      </c>
      <c r="L66" s="764">
        <f>SUM((I66-F66)/J66*K66)*E66</f>
        <v>1.058985491898761E-3</v>
      </c>
      <c r="M66" s="761" t="s">
        <v>884</v>
      </c>
      <c r="N66" s="759">
        <f>I66</f>
        <v>0.94430000000000003</v>
      </c>
      <c r="O66" s="833">
        <f t="shared" si="3"/>
        <v>1300.8823155803966</v>
      </c>
      <c r="P66" s="361"/>
    </row>
    <row r="67" spans="1:16" s="317" customFormat="1" ht="15" customHeight="1">
      <c r="A67" s="14" t="s">
        <v>1147</v>
      </c>
      <c r="B67" s="14" t="s">
        <v>3</v>
      </c>
      <c r="C67" s="761" t="s">
        <v>53</v>
      </c>
      <c r="D67" s="439">
        <v>41386</v>
      </c>
      <c r="E67" s="14">
        <v>1</v>
      </c>
      <c r="F67" s="768">
        <v>83.790999999999997</v>
      </c>
      <c r="G67" s="502"/>
      <c r="H67" s="522">
        <v>41387</v>
      </c>
      <c r="I67" s="763">
        <v>82.444000000000003</v>
      </c>
      <c r="J67" s="832">
        <f>SUM(I67-F67)*10000</f>
        <v>-13469.999999999942</v>
      </c>
      <c r="K67" s="426">
        <f>SUM(100000/N67)/100</f>
        <v>10.078308456708626</v>
      </c>
      <c r="L67" s="764">
        <f>SUM((I67-F67)/J67*K67)*E67</f>
        <v>1.0078308456708627E-3</v>
      </c>
      <c r="M67" s="761" t="s">
        <v>884</v>
      </c>
      <c r="N67" s="759">
        <v>99.222999999999999</v>
      </c>
      <c r="O67" s="833">
        <f t="shared" si="3"/>
        <v>-1368.1788991651595</v>
      </c>
      <c r="P67" s="276"/>
    </row>
    <row r="68" spans="1:16" ht="15" customHeight="1">
      <c r="A68" s="14" t="s">
        <v>1065</v>
      </c>
      <c r="B68" s="14" t="s">
        <v>3</v>
      </c>
      <c r="C68" s="761" t="s">
        <v>53</v>
      </c>
      <c r="D68" s="439">
        <v>41386</v>
      </c>
      <c r="E68" s="14">
        <v>1</v>
      </c>
      <c r="F68" s="768">
        <v>1.2361899999999999</v>
      </c>
      <c r="G68" s="502"/>
      <c r="H68" s="522">
        <v>41389</v>
      </c>
      <c r="I68" s="763">
        <v>1.2407999999999999</v>
      </c>
      <c r="J68" s="832">
        <f>SUM(I68-F68)*10000</f>
        <v>46.10000000000003</v>
      </c>
      <c r="K68" s="426">
        <f>SUM(100000/N68)/10000</f>
        <v>8.0593165699548681</v>
      </c>
      <c r="L68" s="764">
        <f>SUM((I68-F68)/J68*K68)*E68</f>
        <v>8.0593165699548684E-4</v>
      </c>
      <c r="M68" s="761" t="s">
        <v>884</v>
      </c>
      <c r="N68" s="759">
        <f>I68</f>
        <v>1.2407999999999999</v>
      </c>
      <c r="O68" s="833">
        <f t="shared" si="3"/>
        <v>299.43141027959354</v>
      </c>
      <c r="P68" s="276"/>
    </row>
    <row r="69" spans="1:16" ht="15" customHeight="1">
      <c r="A69" s="456" t="s">
        <v>1035</v>
      </c>
      <c r="B69" s="456" t="s">
        <v>3</v>
      </c>
      <c r="C69" s="786" t="s">
        <v>78</v>
      </c>
      <c r="D69" s="787">
        <v>41388</v>
      </c>
      <c r="E69" s="456">
        <v>1</v>
      </c>
      <c r="F69" s="834">
        <v>0.85029999999999994</v>
      </c>
      <c r="G69" s="789"/>
      <c r="H69" s="522">
        <v>41395</v>
      </c>
      <c r="I69" s="790">
        <v>0.84746999999999995</v>
      </c>
      <c r="J69" s="832">
        <f>SUM(F69-I69)*10000</f>
        <v>28.29999999999999</v>
      </c>
      <c r="K69" s="782">
        <f>SUM(100000/N69)/10000</f>
        <v>15.5306</v>
      </c>
      <c r="L69" s="791">
        <f>SUM((F69-I69)/J69*K69)*E69</f>
        <v>1.55306E-3</v>
      </c>
      <c r="M69" s="761" t="s">
        <v>884</v>
      </c>
      <c r="N69" s="677">
        <f>1/1.55306</f>
        <v>0.64389012658879885</v>
      </c>
      <c r="O69" s="833">
        <f t="shared" si="3"/>
        <v>682.59468789879975</v>
      </c>
      <c r="P69" s="276"/>
    </row>
    <row r="70" spans="1:16" ht="15" customHeight="1">
      <c r="A70" s="14" t="s">
        <v>1162</v>
      </c>
      <c r="B70" s="14" t="s">
        <v>3</v>
      </c>
      <c r="C70" s="761" t="s">
        <v>53</v>
      </c>
      <c r="D70" s="439">
        <v>41388</v>
      </c>
      <c r="E70" s="14">
        <v>1</v>
      </c>
      <c r="F70" s="768">
        <v>102.014</v>
      </c>
      <c r="G70" s="502"/>
      <c r="H70" s="522">
        <v>41390</v>
      </c>
      <c r="I70" s="763">
        <v>101.532</v>
      </c>
      <c r="J70" s="832">
        <f>SUM(I70-F70)*10000</f>
        <v>-4819.9999999999927</v>
      </c>
      <c r="K70" s="426">
        <f>SUM(100000/N70)/100</f>
        <v>10.077191285244977</v>
      </c>
      <c r="L70" s="764">
        <f>SUM((I70-F70)/J70*K70)*E70</f>
        <v>1.0077191285244977E-3</v>
      </c>
      <c r="M70" s="761" t="s">
        <v>884</v>
      </c>
      <c r="N70" s="759">
        <v>99.233999999999995</v>
      </c>
      <c r="O70" s="833">
        <f t="shared" si="3"/>
        <v>-489.4699598411907</v>
      </c>
      <c r="P70" s="276"/>
    </row>
    <row r="71" spans="1:16" s="317" customFormat="1" ht="15" customHeight="1">
      <c r="A71" s="456" t="s">
        <v>1124</v>
      </c>
      <c r="B71" s="456" t="s">
        <v>3</v>
      </c>
      <c r="C71" s="786" t="s">
        <v>78</v>
      </c>
      <c r="D71" s="787">
        <v>41388</v>
      </c>
      <c r="E71" s="456">
        <v>1</v>
      </c>
      <c r="F71" s="834">
        <v>1.2652099999999999</v>
      </c>
      <c r="G71" s="789"/>
      <c r="H71" s="522">
        <v>41390</v>
      </c>
      <c r="I71" s="790">
        <v>1.2678</v>
      </c>
      <c r="J71" s="832">
        <f>SUM(F71-I71)*10000</f>
        <v>-25.900000000000922</v>
      </c>
      <c r="K71" s="782">
        <f>SUM(100000/N71)/10000</f>
        <v>10.289899999999999</v>
      </c>
      <c r="L71" s="791">
        <f>SUM((F71-I71)/J71*K71)*E71</f>
        <v>1.02899E-3</v>
      </c>
      <c r="M71" s="761" t="s">
        <v>884</v>
      </c>
      <c r="N71" s="677">
        <f>1/1.02899</f>
        <v>0.97182674272830638</v>
      </c>
      <c r="O71" s="833">
        <f t="shared" si="3"/>
        <v>-274.23448880590973</v>
      </c>
      <c r="P71" s="276"/>
    </row>
    <row r="72" spans="1:16" ht="15" customHeight="1">
      <c r="A72" s="14" t="s">
        <v>1179</v>
      </c>
      <c r="B72" s="14" t="s">
        <v>3</v>
      </c>
      <c r="C72" s="761" t="s">
        <v>53</v>
      </c>
      <c r="D72" s="439">
        <v>41388</v>
      </c>
      <c r="E72" s="14">
        <v>1</v>
      </c>
      <c r="F72" s="768">
        <v>0.83914999999999995</v>
      </c>
      <c r="G72" s="502"/>
      <c r="H72" s="522">
        <v>41395</v>
      </c>
      <c r="I72" s="763">
        <v>0.85429999999999995</v>
      </c>
      <c r="J72" s="832">
        <f>SUM(I72-F72)*10000</f>
        <v>151.49999999999997</v>
      </c>
      <c r="K72" s="426">
        <f>SUM(100000/N72)/10000</f>
        <v>10</v>
      </c>
      <c r="L72" s="764">
        <f>SUM((I72-F72)/J72*K72)*E72</f>
        <v>1E-3</v>
      </c>
      <c r="M72" s="761" t="s">
        <v>884</v>
      </c>
      <c r="N72" s="759">
        <v>1</v>
      </c>
      <c r="O72" s="833">
        <f t="shared" si="3"/>
        <v>1514.9999999999998</v>
      </c>
      <c r="P72" s="276"/>
    </row>
    <row r="73" spans="1:16" ht="15" customHeight="1">
      <c r="A73" s="14" t="s">
        <v>1148</v>
      </c>
      <c r="B73" s="14" t="s">
        <v>3</v>
      </c>
      <c r="C73" s="761" t="s">
        <v>53</v>
      </c>
      <c r="D73" s="439">
        <v>41389</v>
      </c>
      <c r="E73" s="14">
        <v>1</v>
      </c>
      <c r="F73" s="768">
        <v>1.05382</v>
      </c>
      <c r="G73" s="502"/>
      <c r="H73" s="522">
        <v>41389</v>
      </c>
      <c r="I73" s="763">
        <v>1.0496300000000001</v>
      </c>
      <c r="J73" s="832">
        <f>SUM(I73-F73)*10000</f>
        <v>-41.89999999999916</v>
      </c>
      <c r="K73" s="426">
        <f>SUM(100000/N73)/10000</f>
        <v>9.7526722321916193</v>
      </c>
      <c r="L73" s="764">
        <f>SUM((I73-F73)/J73*K73)*E73</f>
        <v>9.7526722321916194E-4</v>
      </c>
      <c r="M73" s="761" t="s">
        <v>884</v>
      </c>
      <c r="N73" s="759">
        <v>1.02536</v>
      </c>
      <c r="O73" s="833">
        <f t="shared" si="3"/>
        <v>-398.53023965126459</v>
      </c>
      <c r="P73" s="276"/>
    </row>
    <row r="74" spans="1:16" ht="15" customHeight="1">
      <c r="A74" s="14" t="s">
        <v>1064</v>
      </c>
      <c r="B74" s="14" t="s">
        <v>3</v>
      </c>
      <c r="C74" s="761" t="s">
        <v>53</v>
      </c>
      <c r="D74" s="439">
        <v>41389</v>
      </c>
      <c r="E74" s="14">
        <v>1</v>
      </c>
      <c r="F74" s="768">
        <v>1.02742</v>
      </c>
      <c r="G74" s="502"/>
      <c r="H74" s="522">
        <v>41390</v>
      </c>
      <c r="I74" s="763">
        <v>1.0274000000000001</v>
      </c>
      <c r="J74" s="832">
        <f>SUM(I74-F74)*10000</f>
        <v>-0.19999999999908979</v>
      </c>
      <c r="K74" s="426">
        <f>SUM(100000/N74)/10000</f>
        <v>10</v>
      </c>
      <c r="L74" s="764">
        <f>SUM((I74-F74)/J74*K74)*E74</f>
        <v>1E-3</v>
      </c>
      <c r="M74" s="761" t="s">
        <v>884</v>
      </c>
      <c r="N74" s="759">
        <v>1</v>
      </c>
      <c r="O74" s="833">
        <f t="shared" si="3"/>
        <v>-1.9999999999908979</v>
      </c>
      <c r="P74" s="276"/>
    </row>
    <row r="75" spans="1:16" ht="15" customHeight="1">
      <c r="A75" s="456" t="s">
        <v>1036</v>
      </c>
      <c r="B75" s="456" t="s">
        <v>3</v>
      </c>
      <c r="C75" s="786" t="s">
        <v>78</v>
      </c>
      <c r="D75" s="787">
        <v>41389</v>
      </c>
      <c r="E75" s="456">
        <v>1</v>
      </c>
      <c r="F75" s="834">
        <v>1.02528</v>
      </c>
      <c r="G75" s="789"/>
      <c r="H75" s="522">
        <v>41397</v>
      </c>
      <c r="I75" s="790">
        <v>1.0124</v>
      </c>
      <c r="J75" s="832">
        <f>SUM(F75-I75)*10000</f>
        <v>128.80000000000001</v>
      </c>
      <c r="K75" s="782">
        <f>SUM(100000/N75)/10000</f>
        <v>9.8775187672856593</v>
      </c>
      <c r="L75" s="791">
        <f>SUM((F75-I75)/J75*K75)*E75</f>
        <v>9.8775187672856587E-4</v>
      </c>
      <c r="M75" s="761" t="s">
        <v>884</v>
      </c>
      <c r="N75" s="677">
        <f>I75</f>
        <v>1.0124</v>
      </c>
      <c r="O75" s="833">
        <f t="shared" si="3"/>
        <v>1256.6420557352756</v>
      </c>
    </row>
    <row r="76" spans="1:16" ht="15" customHeight="1">
      <c r="A76" s="456" t="s">
        <v>1173</v>
      </c>
      <c r="B76" s="456" t="s">
        <v>3</v>
      </c>
      <c r="C76" s="786" t="s">
        <v>78</v>
      </c>
      <c r="D76" s="787">
        <v>41390</v>
      </c>
      <c r="E76" s="456">
        <v>1</v>
      </c>
      <c r="F76" s="834">
        <v>103.667</v>
      </c>
      <c r="G76" s="789"/>
      <c r="H76" s="522">
        <v>41396</v>
      </c>
      <c r="I76" s="790">
        <v>104.727</v>
      </c>
      <c r="J76" s="832">
        <f>SUM(F76-I76)*10000</f>
        <v>-10600.000000000022</v>
      </c>
      <c r="K76" s="782">
        <f>SUM(100000/N76)/100</f>
        <v>10.270103728047651</v>
      </c>
      <c r="L76" s="791">
        <f>SUM((F76-I76)/J76*K76)*E76</f>
        <v>1.0270103728047652E-3</v>
      </c>
      <c r="M76" s="761" t="s">
        <v>884</v>
      </c>
      <c r="N76" s="677">
        <v>97.37</v>
      </c>
      <c r="O76" s="833">
        <f t="shared" si="3"/>
        <v>-1118.0353241995001</v>
      </c>
      <c r="P76" s="276"/>
    </row>
    <row r="77" spans="1:16" ht="15" customHeight="1">
      <c r="A77" s="514" t="s">
        <v>1040</v>
      </c>
      <c r="B77" s="514" t="s">
        <v>3</v>
      </c>
      <c r="C77" s="836" t="s">
        <v>78</v>
      </c>
      <c r="D77" s="837">
        <v>41390</v>
      </c>
      <c r="E77" s="514">
        <v>1</v>
      </c>
      <c r="F77" s="838">
        <v>1.3009900000000001</v>
      </c>
      <c r="G77" s="839"/>
      <c r="H77" s="525">
        <v>41393</v>
      </c>
      <c r="I77" s="840">
        <v>1.3080000000000001</v>
      </c>
      <c r="J77" s="841">
        <f>SUM(F77-I77)*10000</f>
        <v>-70.099999999999611</v>
      </c>
      <c r="K77" s="842">
        <f t="shared" ref="K77:K85" si="4">SUM(100000/N77)/10000</f>
        <v>10</v>
      </c>
      <c r="L77" s="843">
        <f>SUM((F77-I77)/J77*K77)*E77</f>
        <v>1E-3</v>
      </c>
      <c r="M77" s="761" t="s">
        <v>884</v>
      </c>
      <c r="N77" s="844">
        <v>1</v>
      </c>
      <c r="O77" s="845">
        <f t="shared" si="3"/>
        <v>-700.99999999999613</v>
      </c>
      <c r="P77" s="361"/>
    </row>
    <row r="78" spans="1:16" ht="15" customHeight="1">
      <c r="A78" s="456" t="s">
        <v>1065</v>
      </c>
      <c r="B78" s="456" t="s">
        <v>3</v>
      </c>
      <c r="C78" s="786" t="s">
        <v>78</v>
      </c>
      <c r="D78" s="787">
        <v>41390</v>
      </c>
      <c r="E78" s="456">
        <v>1</v>
      </c>
      <c r="F78" s="834">
        <v>1.2384500000000001</v>
      </c>
      <c r="G78" s="789"/>
      <c r="H78" s="522">
        <v>41396</v>
      </c>
      <c r="I78" s="790">
        <v>1.2342</v>
      </c>
      <c r="J78" s="832">
        <f>SUM(F78-I78)*10000</f>
        <v>42.500000000000867</v>
      </c>
      <c r="K78" s="782">
        <f t="shared" si="4"/>
        <v>8.1024145195268193</v>
      </c>
      <c r="L78" s="791">
        <f>SUM((F78-I78)/J78*K78)*E78</f>
        <v>8.1024145195268194E-4</v>
      </c>
      <c r="M78" s="761" t="s">
        <v>884</v>
      </c>
      <c r="N78" s="677">
        <f>I78</f>
        <v>1.2342</v>
      </c>
      <c r="O78" s="833">
        <f t="shared" si="3"/>
        <v>279.00876444652152</v>
      </c>
      <c r="P78" s="276"/>
    </row>
    <row r="79" spans="1:16" ht="15" customHeight="1">
      <c r="A79" s="456" t="s">
        <v>1150</v>
      </c>
      <c r="B79" s="456" t="s">
        <v>3</v>
      </c>
      <c r="C79" s="786" t="s">
        <v>78</v>
      </c>
      <c r="D79" s="787">
        <v>41393</v>
      </c>
      <c r="E79" s="456">
        <v>1</v>
      </c>
      <c r="F79" s="834">
        <v>0.96745000000000003</v>
      </c>
      <c r="G79" s="789"/>
      <c r="H79" s="522">
        <v>41397</v>
      </c>
      <c r="I79" s="790">
        <v>0.96443999999999996</v>
      </c>
      <c r="J79" s="832">
        <f>SUM(F79-I79)*10000</f>
        <v>30.100000000000684</v>
      </c>
      <c r="K79" s="782">
        <f t="shared" si="4"/>
        <v>10.699077739498854</v>
      </c>
      <c r="L79" s="791">
        <f>SUM((F79-I79)/J79*K79)*E79</f>
        <v>1.0699077739498852E-3</v>
      </c>
      <c r="M79" s="761" t="s">
        <v>884</v>
      </c>
      <c r="N79" s="677">
        <v>0.93466000000000005</v>
      </c>
      <c r="O79" s="833">
        <f t="shared" si="3"/>
        <v>344.55549607228596</v>
      </c>
      <c r="P79" s="276"/>
    </row>
    <row r="80" spans="1:16" ht="15" customHeight="1">
      <c r="A80" s="14" t="s">
        <v>1124</v>
      </c>
      <c r="B80" s="14" t="s">
        <v>3</v>
      </c>
      <c r="C80" s="761" t="s">
        <v>53</v>
      </c>
      <c r="D80" s="439">
        <v>41393</v>
      </c>
      <c r="E80" s="14">
        <v>1</v>
      </c>
      <c r="F80" s="768">
        <v>1.2689699999999999</v>
      </c>
      <c r="G80" s="502"/>
      <c r="H80" s="522">
        <v>41397</v>
      </c>
      <c r="I80" s="763">
        <v>1.27457</v>
      </c>
      <c r="J80" s="832">
        <f>SUM(I80-F80)*10000</f>
        <v>56.000000000000497</v>
      </c>
      <c r="K80" s="426">
        <f t="shared" si="4"/>
        <v>10.247400000000001</v>
      </c>
      <c r="L80" s="764">
        <f>SUM((I80-F80)/J80*K80)*E80</f>
        <v>1.0247399999999999E-3</v>
      </c>
      <c r="M80" s="761" t="s">
        <v>884</v>
      </c>
      <c r="N80" s="759">
        <f>1/1.02474</f>
        <v>0.9758572906298183</v>
      </c>
      <c r="O80" s="833">
        <f t="shared" si="3"/>
        <v>588.05155785600527</v>
      </c>
      <c r="P80" s="276"/>
    </row>
    <row r="81" spans="1:16" ht="15" customHeight="1">
      <c r="A81" s="14" t="s">
        <v>1149</v>
      </c>
      <c r="B81" s="14" t="s">
        <v>3</v>
      </c>
      <c r="C81" s="761" t="s">
        <v>53</v>
      </c>
      <c r="D81" s="439">
        <v>41393</v>
      </c>
      <c r="E81" s="14">
        <v>1</v>
      </c>
      <c r="F81" s="768">
        <v>1.2280899999999999</v>
      </c>
      <c r="G81" s="502"/>
      <c r="H81" s="522">
        <v>41394</v>
      </c>
      <c r="I81" s="763">
        <v>1.2262599999999999</v>
      </c>
      <c r="J81" s="832">
        <f>SUM(I81-F81)*10000</f>
        <v>-18.299999999999983</v>
      </c>
      <c r="K81" s="426">
        <f t="shared" si="4"/>
        <v>10.682505261133841</v>
      </c>
      <c r="L81" s="764">
        <f>SUM((I81-F81)/J81*K81)*E81</f>
        <v>1.0682505261133842E-3</v>
      </c>
      <c r="M81" s="761" t="s">
        <v>884</v>
      </c>
      <c r="N81" s="759">
        <v>0.93611</v>
      </c>
      <c r="O81" s="833">
        <f t="shared" si="3"/>
        <v>-208.83213113709832</v>
      </c>
      <c r="P81" s="276"/>
    </row>
    <row r="82" spans="1:16" ht="15" customHeight="1">
      <c r="A82" s="524" t="s">
        <v>1125</v>
      </c>
      <c r="B82" s="524" t="s">
        <v>3</v>
      </c>
      <c r="C82" s="846" t="s">
        <v>53</v>
      </c>
      <c r="D82" s="847">
        <v>41394</v>
      </c>
      <c r="E82" s="524">
        <v>1</v>
      </c>
      <c r="F82" s="848">
        <v>1.2767599999999999</v>
      </c>
      <c r="G82" s="849"/>
      <c r="H82" s="525">
        <v>41395</v>
      </c>
      <c r="I82" s="850">
        <v>1.2736799999999999</v>
      </c>
      <c r="J82" s="841">
        <f>SUM(I82-F82)*10000</f>
        <v>-30.799999999999716</v>
      </c>
      <c r="K82" s="851">
        <f t="shared" si="4"/>
        <v>8.1219593414715359</v>
      </c>
      <c r="L82" s="852">
        <f>SUM((I82-F82)/J82*K82)*E82</f>
        <v>8.1219593414715366E-4</v>
      </c>
      <c r="M82" s="761" t="s">
        <v>884</v>
      </c>
      <c r="N82" s="853">
        <v>1.23123</v>
      </c>
      <c r="O82" s="845">
        <f t="shared" si="3"/>
        <v>-203.17596851710971</v>
      </c>
      <c r="P82" s="361"/>
    </row>
    <row r="83" spans="1:16" ht="15" customHeight="1">
      <c r="A83" s="514" t="s">
        <v>1151</v>
      </c>
      <c r="B83" s="514" t="s">
        <v>3</v>
      </c>
      <c r="C83" s="836" t="s">
        <v>78</v>
      </c>
      <c r="D83" s="837">
        <v>41394</v>
      </c>
      <c r="E83" s="514">
        <v>1</v>
      </c>
      <c r="F83" s="838">
        <v>1.49739</v>
      </c>
      <c r="G83" s="839"/>
      <c r="H83" s="525">
        <v>41395</v>
      </c>
      <c r="I83" s="840">
        <v>1.5016700000000001</v>
      </c>
      <c r="J83" s="841">
        <f>SUM(F83-I83)*10000</f>
        <v>-42.800000000000615</v>
      </c>
      <c r="K83" s="842">
        <f t="shared" si="4"/>
        <v>10.3682</v>
      </c>
      <c r="L83" s="843">
        <f>SUM((F83-I83)/J83*K83)*E83</f>
        <v>1.0368199999999999E-3</v>
      </c>
      <c r="M83" s="761" t="s">
        <v>884</v>
      </c>
      <c r="N83" s="844">
        <f>1/1.03682</f>
        <v>0.96448756775525157</v>
      </c>
      <c r="O83" s="845">
        <f t="shared" si="3"/>
        <v>-460.09816490720664</v>
      </c>
      <c r="P83" s="361"/>
    </row>
    <row r="84" spans="1:16" ht="15" customHeight="1">
      <c r="A84" s="514" t="s">
        <v>1180</v>
      </c>
      <c r="B84" s="514" t="s">
        <v>3</v>
      </c>
      <c r="C84" s="836" t="s">
        <v>78</v>
      </c>
      <c r="D84" s="837">
        <v>41394</v>
      </c>
      <c r="E84" s="514">
        <v>1</v>
      </c>
      <c r="F84" s="838">
        <v>1.5671299999999999</v>
      </c>
      <c r="G84" s="839"/>
      <c r="H84" s="525">
        <v>41397</v>
      </c>
      <c r="I84" s="840">
        <v>1.56959</v>
      </c>
      <c r="J84" s="841">
        <f>SUM(F84-I84)*10000</f>
        <v>-24.600000000001288</v>
      </c>
      <c r="K84" s="842">
        <f t="shared" si="4"/>
        <v>9.8988339173645343</v>
      </c>
      <c r="L84" s="843">
        <f>SUM((F84-I84)/J84*K84)*E84</f>
        <v>9.8988339173645338E-4</v>
      </c>
      <c r="M84" s="761" t="s">
        <v>884</v>
      </c>
      <c r="N84" s="844">
        <v>1.0102199999999999</v>
      </c>
      <c r="O84" s="845">
        <f t="shared" si="3"/>
        <v>-241.04780579198621</v>
      </c>
      <c r="P84" s="361"/>
    </row>
    <row r="85" spans="1:16" ht="15" customHeight="1">
      <c r="A85" s="514" t="s">
        <v>1037</v>
      </c>
      <c r="B85" s="514" t="s">
        <v>3</v>
      </c>
      <c r="C85" s="836" t="s">
        <v>78</v>
      </c>
      <c r="D85" s="837">
        <v>41394</v>
      </c>
      <c r="E85" s="514">
        <v>1</v>
      </c>
      <c r="F85" s="838">
        <v>1.45133</v>
      </c>
      <c r="G85" s="839"/>
      <c r="H85" s="525">
        <v>41396</v>
      </c>
      <c r="I85" s="840">
        <v>1.4489000000000001</v>
      </c>
      <c r="J85" s="841">
        <f>SUM(F85-I85)*10000</f>
        <v>24.299999999999322</v>
      </c>
      <c r="K85" s="842">
        <f t="shared" si="4"/>
        <v>10.785973919515063</v>
      </c>
      <c r="L85" s="843">
        <f>SUM((F85-I85)/J85*K85)*E85</f>
        <v>1.0785973919515063E-3</v>
      </c>
      <c r="M85" s="761" t="s">
        <v>884</v>
      </c>
      <c r="N85" s="844">
        <v>0.92713000000000001</v>
      </c>
      <c r="O85" s="845">
        <f t="shared" si="3"/>
        <v>282.69947714366782</v>
      </c>
      <c r="P85" s="361"/>
    </row>
    <row r="86" spans="1:16" ht="15" customHeight="1">
      <c r="A86" s="514" t="s">
        <v>1157</v>
      </c>
      <c r="B86" s="514" t="s">
        <v>3</v>
      </c>
      <c r="C86" s="836" t="s">
        <v>78</v>
      </c>
      <c r="D86" s="837">
        <v>41394</v>
      </c>
      <c r="E86" s="514">
        <v>1</v>
      </c>
      <c r="F86" s="838">
        <v>151.48599999999999</v>
      </c>
      <c r="G86" s="839"/>
      <c r="H86" s="525">
        <v>41396</v>
      </c>
      <c r="I86" s="840">
        <v>152.21</v>
      </c>
      <c r="J86" s="841">
        <f>SUM(F86-I86)*10000</f>
        <v>-7240.0000000001801</v>
      </c>
      <c r="K86" s="842">
        <f>SUM(100000/N86)/100</f>
        <v>10.270103728047651</v>
      </c>
      <c r="L86" s="843">
        <f>SUM((F86-I86)/J86*K86)*E86</f>
        <v>1.027010372804765E-3</v>
      </c>
      <c r="M86" s="761" t="s">
        <v>884</v>
      </c>
      <c r="N86" s="844">
        <v>97.37</v>
      </c>
      <c r="O86" s="845">
        <f t="shared" si="3"/>
        <v>-763.63922143439299</v>
      </c>
      <c r="P86" s="361"/>
    </row>
    <row r="87" spans="1:16" ht="15" customHeight="1">
      <c r="A87" s="14" t="s">
        <v>1154</v>
      </c>
      <c r="B87" s="14" t="s">
        <v>3</v>
      </c>
      <c r="C87" s="761" t="s">
        <v>53</v>
      </c>
      <c r="D87" s="439">
        <v>41395</v>
      </c>
      <c r="E87" s="14">
        <v>1</v>
      </c>
      <c r="F87" s="768">
        <v>1.21082</v>
      </c>
      <c r="G87" s="502"/>
      <c r="H87" s="522">
        <v>41396</v>
      </c>
      <c r="I87" s="763">
        <v>1.2061999999999999</v>
      </c>
      <c r="J87" s="832">
        <f>SUM(I87-F87)*10000</f>
        <v>-46.200000000000685</v>
      </c>
      <c r="K87" s="426">
        <f>SUM(100000/N87)/10000</f>
        <v>8.4962</v>
      </c>
      <c r="L87" s="764">
        <f>SUM((I87-F87)/J87*K87)*E87</f>
        <v>8.4962000000000004E-4</v>
      </c>
      <c r="M87" s="761" t="s">
        <v>884</v>
      </c>
      <c r="N87" s="759">
        <f>1/0.84962</f>
        <v>1.1769967750288364</v>
      </c>
      <c r="O87" s="833">
        <f t="shared" si="3"/>
        <v>-333.49661471280496</v>
      </c>
      <c r="P87" s="276"/>
    </row>
    <row r="88" spans="1:16" ht="15" customHeight="1">
      <c r="A88" s="456" t="s">
        <v>1155</v>
      </c>
      <c r="B88" s="456" t="s">
        <v>3</v>
      </c>
      <c r="C88" s="786" t="s">
        <v>78</v>
      </c>
      <c r="D88" s="787">
        <v>41395</v>
      </c>
      <c r="E88" s="456">
        <v>1</v>
      </c>
      <c r="F88" s="834">
        <v>0.92230000000000001</v>
      </c>
      <c r="G88" s="789"/>
      <c r="H88" s="522">
        <v>41396</v>
      </c>
      <c r="I88" s="790">
        <v>0.92469999999999997</v>
      </c>
      <c r="J88" s="832">
        <f>SUM(F88-I88)*10000</f>
        <v>-23.999999999999577</v>
      </c>
      <c r="K88" s="782">
        <f>SUM(100000/N88)/10000</f>
        <v>10.785973919515063</v>
      </c>
      <c r="L88" s="791">
        <f>SUM((F88-I88)/J88*K88)*E88</f>
        <v>1.0785973919515063E-3</v>
      </c>
      <c r="M88" s="761" t="s">
        <v>884</v>
      </c>
      <c r="N88" s="677">
        <v>0.92713000000000001</v>
      </c>
      <c r="O88" s="833">
        <f t="shared" si="3"/>
        <v>-279.20936014189698</v>
      </c>
      <c r="P88" s="276"/>
    </row>
    <row r="89" spans="1:16" ht="15" customHeight="1">
      <c r="A89" s="14" t="s">
        <v>1173</v>
      </c>
      <c r="B89" s="14" t="s">
        <v>3</v>
      </c>
      <c r="C89" s="761" t="s">
        <v>53</v>
      </c>
      <c r="D89" s="439">
        <v>41395</v>
      </c>
      <c r="E89" s="14">
        <v>1</v>
      </c>
      <c r="F89" s="768">
        <v>104.79900000000001</v>
      </c>
      <c r="G89" s="502"/>
      <c r="H89" s="522">
        <v>41397</v>
      </c>
      <c r="I89" s="763">
        <v>104.727</v>
      </c>
      <c r="J89" s="832">
        <f>SUM(I89-F89)*10000</f>
        <v>-720.00000000002728</v>
      </c>
      <c r="K89" s="426">
        <f>SUM(100000/N89)/100</f>
        <v>10.212835491645901</v>
      </c>
      <c r="L89" s="764">
        <f>SUM((I89-F89)/J89*K89)*E89</f>
        <v>1.0212835491645901E-3</v>
      </c>
      <c r="M89" s="761" t="s">
        <v>884</v>
      </c>
      <c r="N89" s="759">
        <v>97.915999999999997</v>
      </c>
      <c r="O89" s="833">
        <f t="shared" si="3"/>
        <v>-75.097446321186808</v>
      </c>
      <c r="P89" s="276"/>
    </row>
    <row r="90" spans="1:16" ht="15" customHeight="1">
      <c r="A90" s="14" t="s">
        <v>1035</v>
      </c>
      <c r="B90" s="14" t="s">
        <v>3</v>
      </c>
      <c r="C90" s="761" t="s">
        <v>53</v>
      </c>
      <c r="D90" s="439">
        <v>41395</v>
      </c>
      <c r="E90" s="14">
        <v>1</v>
      </c>
      <c r="F90" s="768">
        <v>0.84760000000000002</v>
      </c>
      <c r="G90" s="502"/>
      <c r="H90" s="522">
        <v>41396</v>
      </c>
      <c r="I90" s="763">
        <v>0.84240000000000004</v>
      </c>
      <c r="J90" s="832">
        <f>SUM(I90-F90)*10000</f>
        <v>-51.999999999999822</v>
      </c>
      <c r="K90" s="426">
        <f>SUM(100000/N90)/10000</f>
        <v>15.5532</v>
      </c>
      <c r="L90" s="764">
        <f>SUM((I90-F90)/J90*K90)*E90</f>
        <v>1.55532E-3</v>
      </c>
      <c r="M90" s="761" t="s">
        <v>884</v>
      </c>
      <c r="N90" s="759">
        <f>1/1.55532</f>
        <v>0.64295450453925884</v>
      </c>
      <c r="O90" s="833">
        <f t="shared" si="3"/>
        <v>-1257.8905572479957</v>
      </c>
      <c r="P90" s="276"/>
    </row>
    <row r="91" spans="1:16" ht="15" customHeight="1">
      <c r="A91" s="456" t="s">
        <v>1156</v>
      </c>
      <c r="B91" s="456" t="s">
        <v>3</v>
      </c>
      <c r="C91" s="786" t="s">
        <v>78</v>
      </c>
      <c r="D91" s="787">
        <v>41396</v>
      </c>
      <c r="E91" s="456">
        <v>1</v>
      </c>
      <c r="F91" s="834">
        <v>96.539000000000001</v>
      </c>
      <c r="G91" s="789"/>
      <c r="H91" s="522">
        <v>41396</v>
      </c>
      <c r="I91" s="790">
        <v>97.581999999999994</v>
      </c>
      <c r="J91" s="832">
        <f>SUM(F91-I91)*10000</f>
        <v>-10429.999999999922</v>
      </c>
      <c r="K91" s="782">
        <f>SUM(100000/N91)/100</f>
        <v>10.269681845256434</v>
      </c>
      <c r="L91" s="791">
        <f>SUM((F91-I91)/J91*K91)*E91</f>
        <v>1.0269681845256433E-3</v>
      </c>
      <c r="M91" s="761" t="s">
        <v>884</v>
      </c>
      <c r="N91" s="677">
        <v>97.373999999999995</v>
      </c>
      <c r="O91" s="833">
        <f t="shared" si="3"/>
        <v>-1100.0141890650873</v>
      </c>
      <c r="P91" s="276"/>
    </row>
    <row r="92" spans="1:16" ht="15" customHeight="1">
      <c r="A92" s="14" t="s">
        <v>1146</v>
      </c>
      <c r="B92" s="14" t="s">
        <v>3</v>
      </c>
      <c r="C92" s="761" t="s">
        <v>53</v>
      </c>
      <c r="D92" s="439">
        <v>41396</v>
      </c>
      <c r="E92" s="14">
        <v>1</v>
      </c>
      <c r="F92" s="768">
        <v>1.3284899999999999</v>
      </c>
      <c r="G92" s="502"/>
      <c r="H92" s="522">
        <v>41396</v>
      </c>
      <c r="I92" s="763">
        <v>1.32026</v>
      </c>
      <c r="J92" s="832">
        <f>SUM(I92-F92)*10000</f>
        <v>-82.299999999999599</v>
      </c>
      <c r="K92" s="426">
        <f t="shared" ref="K92:K97" si="5">SUM(100000/N92)/10000</f>
        <v>10.578764188767469</v>
      </c>
      <c r="L92" s="764">
        <f>SUM((I92-F92)/J92*K92)*E92</f>
        <v>1.0578764188767468E-3</v>
      </c>
      <c r="M92" s="761" t="s">
        <v>884</v>
      </c>
      <c r="N92" s="759">
        <v>0.94528999999999996</v>
      </c>
      <c r="O92" s="833">
        <f t="shared" si="3"/>
        <v>-921.02137199754407</v>
      </c>
      <c r="P92" s="276"/>
    </row>
    <row r="93" spans="1:16" ht="15" customHeight="1">
      <c r="A93" s="456" t="s">
        <v>1179</v>
      </c>
      <c r="B93" s="456" t="s">
        <v>3</v>
      </c>
      <c r="C93" s="786" t="s">
        <v>78</v>
      </c>
      <c r="D93" s="787">
        <v>41396</v>
      </c>
      <c r="E93" s="456">
        <v>1</v>
      </c>
      <c r="F93" s="834">
        <v>0.84965000000000002</v>
      </c>
      <c r="G93" s="789"/>
      <c r="H93" s="522">
        <v>41397</v>
      </c>
      <c r="I93" s="790">
        <v>0.85485</v>
      </c>
      <c r="J93" s="832">
        <f>SUM(F93-I93)*10000</f>
        <v>-51.999999999999822</v>
      </c>
      <c r="K93" s="782">
        <f t="shared" si="5"/>
        <v>10</v>
      </c>
      <c r="L93" s="791">
        <f>SUM((F93-I93)/J93*K93)*E93</f>
        <v>1E-3</v>
      </c>
      <c r="M93" s="761" t="s">
        <v>884</v>
      </c>
      <c r="N93" s="677">
        <v>1</v>
      </c>
      <c r="O93" s="833">
        <f t="shared" si="3"/>
        <v>-519.99999999999818</v>
      </c>
      <c r="P93" s="276"/>
    </row>
    <row r="94" spans="1:16" s="317" customFormat="1" ht="15" customHeight="1">
      <c r="A94" s="14" t="s">
        <v>1155</v>
      </c>
      <c r="B94" s="14" t="s">
        <v>3</v>
      </c>
      <c r="C94" s="761" t="s">
        <v>53</v>
      </c>
      <c r="D94" s="439">
        <v>41397</v>
      </c>
      <c r="E94" s="14">
        <v>1</v>
      </c>
      <c r="F94" s="768">
        <v>0.92493000000000003</v>
      </c>
      <c r="G94" s="502"/>
      <c r="H94" s="522">
        <v>41411</v>
      </c>
      <c r="I94" s="763">
        <v>0.94330000000000003</v>
      </c>
      <c r="J94" s="832">
        <f>SUM(I94-F94)*10000</f>
        <v>183.7</v>
      </c>
      <c r="K94" s="426">
        <f t="shared" si="5"/>
        <v>10.366239232068997</v>
      </c>
      <c r="L94" s="764">
        <f>SUM((I94-F94)/J94*K94)*E94</f>
        <v>1.0366239232068996E-3</v>
      </c>
      <c r="M94" s="761" t="s">
        <v>884</v>
      </c>
      <c r="N94" s="759">
        <v>0.96467000000000003</v>
      </c>
      <c r="O94" s="833">
        <f t="shared" ref="O94:O120" si="6">SUM(J94*K94)/N94</f>
        <v>1974.0202835488556</v>
      </c>
      <c r="P94" s="361"/>
    </row>
    <row r="95" spans="1:16" ht="15" customHeight="1">
      <c r="A95" s="456" t="s">
        <v>1124</v>
      </c>
      <c r="B95" s="456" t="s">
        <v>3</v>
      </c>
      <c r="C95" s="786" t="s">
        <v>78</v>
      </c>
      <c r="D95" s="787">
        <v>41397</v>
      </c>
      <c r="E95" s="456">
        <v>1</v>
      </c>
      <c r="F95" s="834">
        <v>1.27454</v>
      </c>
      <c r="G95" s="789"/>
      <c r="H95" s="522">
        <v>41401</v>
      </c>
      <c r="I95" s="790">
        <v>1.288144</v>
      </c>
      <c r="J95" s="832">
        <f>SUM(F95-I95)*10000</f>
        <v>-136.03999999999951</v>
      </c>
      <c r="K95" s="782">
        <f t="shared" si="5"/>
        <v>10.252000000000001</v>
      </c>
      <c r="L95" s="791">
        <f>SUM((F95-I95)/J95*K95)*E95</f>
        <v>1.0252E-3</v>
      </c>
      <c r="M95" s="761" t="s">
        <v>884</v>
      </c>
      <c r="N95" s="677">
        <f>1/1.0252</f>
        <v>0.97541943035505274</v>
      </c>
      <c r="O95" s="833">
        <f t="shared" si="6"/>
        <v>-1429.8280684159947</v>
      </c>
      <c r="P95" s="361"/>
    </row>
    <row r="96" spans="1:16">
      <c r="A96" s="456" t="s">
        <v>1040</v>
      </c>
      <c r="B96" s="456" t="s">
        <v>3</v>
      </c>
      <c r="C96" s="786" t="s">
        <v>78</v>
      </c>
      <c r="D96" s="787">
        <v>41397</v>
      </c>
      <c r="E96" s="456">
        <v>1</v>
      </c>
      <c r="F96" s="834">
        <v>1.30643</v>
      </c>
      <c r="G96" s="789"/>
      <c r="H96" s="522">
        <v>41402</v>
      </c>
      <c r="I96" s="790">
        <v>1.3140000000000001</v>
      </c>
      <c r="J96" s="832">
        <f>SUM(F96-I96)*10000</f>
        <v>-75.70000000000077</v>
      </c>
      <c r="K96" s="782">
        <f t="shared" si="5"/>
        <v>10</v>
      </c>
      <c r="L96" s="791">
        <f>SUM((F96-I96)/J96*K96)*E96</f>
        <v>1E-3</v>
      </c>
      <c r="M96" s="761" t="s">
        <v>884</v>
      </c>
      <c r="N96" s="677">
        <v>1</v>
      </c>
      <c r="O96" s="833">
        <f t="shared" si="6"/>
        <v>-757.00000000000773</v>
      </c>
      <c r="P96" s="361"/>
    </row>
    <row r="97" spans="1:16" s="317" customFormat="1">
      <c r="A97" s="14" t="s">
        <v>1180</v>
      </c>
      <c r="B97" s="14" t="s">
        <v>3</v>
      </c>
      <c r="C97" s="761" t="s">
        <v>53</v>
      </c>
      <c r="D97" s="439">
        <v>41397</v>
      </c>
      <c r="E97" s="14">
        <v>1</v>
      </c>
      <c r="F97" s="768">
        <v>1.56962</v>
      </c>
      <c r="G97" s="502"/>
      <c r="H97" s="522">
        <v>41400</v>
      </c>
      <c r="I97" s="763">
        <v>1.5647</v>
      </c>
      <c r="J97" s="832">
        <f t="shared" ref="J97:J102" si="7">SUM(I97-F97)*10000</f>
        <v>-49.200000000000358</v>
      </c>
      <c r="K97" s="426">
        <f t="shared" si="5"/>
        <v>9.6714604872481775</v>
      </c>
      <c r="L97" s="764">
        <f t="shared" ref="L97:L102" si="8">SUM((I97-F97)/J97*K97)*E97</f>
        <v>9.6714604872481769E-4</v>
      </c>
      <c r="M97" s="761" t="s">
        <v>884</v>
      </c>
      <c r="N97" s="759">
        <v>1.0339700000000001</v>
      </c>
      <c r="O97" s="833">
        <f t="shared" si="6"/>
        <v>-460.20276794550495</v>
      </c>
      <c r="P97" s="276"/>
    </row>
    <row r="98" spans="1:16" s="317" customFormat="1" ht="15" customHeight="1">
      <c r="A98" s="14" t="s">
        <v>1036</v>
      </c>
      <c r="B98" s="14" t="s">
        <v>3</v>
      </c>
      <c r="C98" s="761" t="s">
        <v>53</v>
      </c>
      <c r="D98" s="439">
        <v>41397</v>
      </c>
      <c r="E98" s="14">
        <v>1</v>
      </c>
      <c r="F98" s="768">
        <v>1.01024</v>
      </c>
      <c r="G98" s="502"/>
      <c r="H98" s="522">
        <v>41400</v>
      </c>
      <c r="I98" s="763">
        <v>1.0069999999999999</v>
      </c>
      <c r="J98" s="832">
        <f t="shared" si="7"/>
        <v>-32.400000000001313</v>
      </c>
      <c r="K98" s="426">
        <f t="shared" ref="K98:K103" si="9">SUM(100000/N98)/10000</f>
        <v>9.9304865938430993</v>
      </c>
      <c r="L98" s="764">
        <f t="shared" si="8"/>
        <v>9.9304865938431002E-4</v>
      </c>
      <c r="M98" s="761" t="s">
        <v>884</v>
      </c>
      <c r="N98" s="759">
        <f>I98</f>
        <v>1.0069999999999999</v>
      </c>
      <c r="O98" s="833">
        <f t="shared" si="6"/>
        <v>-319.51118732922492</v>
      </c>
      <c r="P98" s="276"/>
    </row>
    <row r="99" spans="1:16" s="317" customFormat="1">
      <c r="A99" s="14" t="s">
        <v>1153</v>
      </c>
      <c r="B99" s="14" t="s">
        <v>3</v>
      </c>
      <c r="C99" s="761" t="s">
        <v>53</v>
      </c>
      <c r="D99" s="439">
        <v>41397</v>
      </c>
      <c r="E99" s="14">
        <v>1</v>
      </c>
      <c r="F99" s="768">
        <v>0.93474000000000002</v>
      </c>
      <c r="G99" s="502"/>
      <c r="H99" s="522">
        <v>41402</v>
      </c>
      <c r="I99" s="763">
        <v>0.93659999999999999</v>
      </c>
      <c r="J99" s="832">
        <f t="shared" si="7"/>
        <v>18.599999999999728</v>
      </c>
      <c r="K99" s="426">
        <f t="shared" si="9"/>
        <v>10.676916506512919</v>
      </c>
      <c r="L99" s="764">
        <f t="shared" si="8"/>
        <v>1.0676916506512919E-3</v>
      </c>
      <c r="M99" s="761" t="s">
        <v>884</v>
      </c>
      <c r="N99" s="759">
        <f>I99</f>
        <v>0.93659999999999999</v>
      </c>
      <c r="O99" s="833">
        <f t="shared" si="6"/>
        <v>212.03357572190623</v>
      </c>
      <c r="P99" s="361"/>
    </row>
    <row r="100" spans="1:16" s="317" customFormat="1">
      <c r="A100" s="14" t="s">
        <v>1149</v>
      </c>
      <c r="B100" s="14" t="s">
        <v>3</v>
      </c>
      <c r="C100" s="761" t="s">
        <v>53</v>
      </c>
      <c r="D100" s="439">
        <v>41400</v>
      </c>
      <c r="E100" s="14">
        <v>1</v>
      </c>
      <c r="F100" s="768">
        <v>1.2266699999999999</v>
      </c>
      <c r="G100" s="502"/>
      <c r="H100" s="522">
        <v>41410</v>
      </c>
      <c r="I100" s="763">
        <v>1.2384999999999999</v>
      </c>
      <c r="J100" s="832">
        <f t="shared" si="7"/>
        <v>118.30000000000007</v>
      </c>
      <c r="K100" s="426">
        <f t="shared" si="9"/>
        <v>10.366776554498143</v>
      </c>
      <c r="L100" s="764">
        <f t="shared" si="8"/>
        <v>1.0366776554498144E-3</v>
      </c>
      <c r="M100" s="761" t="s">
        <v>884</v>
      </c>
      <c r="N100" s="759">
        <v>0.96462000000000003</v>
      </c>
      <c r="O100" s="833">
        <f t="shared" si="6"/>
        <v>1271.3707640284579</v>
      </c>
      <c r="P100" s="361"/>
    </row>
    <row r="101" spans="1:16" s="317" customFormat="1">
      <c r="A101" s="14" t="s">
        <v>1037</v>
      </c>
      <c r="B101" s="14" t="s">
        <v>3</v>
      </c>
      <c r="C101" s="761" t="s">
        <v>53</v>
      </c>
      <c r="D101" s="439">
        <v>41400</v>
      </c>
      <c r="E101" s="14">
        <v>1</v>
      </c>
      <c r="F101" s="768">
        <v>1.4555199999999999</v>
      </c>
      <c r="G101" s="502"/>
      <c r="H101" s="522">
        <v>41402</v>
      </c>
      <c r="I101" s="763">
        <v>1.4534</v>
      </c>
      <c r="J101" s="832">
        <f t="shared" si="7"/>
        <v>-21.199999999998997</v>
      </c>
      <c r="K101" s="426">
        <f t="shared" si="9"/>
        <v>10.63648740639891</v>
      </c>
      <c r="L101" s="764">
        <f t="shared" si="8"/>
        <v>1.0636487406398909E-3</v>
      </c>
      <c r="M101" s="761" t="s">
        <v>884</v>
      </c>
      <c r="N101" s="759">
        <v>0.94016</v>
      </c>
      <c r="O101" s="833">
        <f t="shared" si="6"/>
        <v>-239.8459124145318</v>
      </c>
      <c r="P101" s="361"/>
    </row>
    <row r="102" spans="1:16" s="317" customFormat="1">
      <c r="A102" s="14" t="s">
        <v>1179</v>
      </c>
      <c r="B102" s="14" t="s">
        <v>3</v>
      </c>
      <c r="C102" s="761" t="s">
        <v>53</v>
      </c>
      <c r="D102" s="439">
        <v>41400</v>
      </c>
      <c r="E102" s="14">
        <v>1</v>
      </c>
      <c r="F102" s="768">
        <v>0.85297999999999996</v>
      </c>
      <c r="G102" s="502"/>
      <c r="H102" s="522">
        <v>41401</v>
      </c>
      <c r="I102" s="763">
        <v>0.84848000000000001</v>
      </c>
      <c r="J102" s="832">
        <f t="shared" si="7"/>
        <v>-44.999999999999488</v>
      </c>
      <c r="K102" s="426">
        <f t="shared" si="9"/>
        <v>10</v>
      </c>
      <c r="L102" s="764">
        <f t="shared" si="8"/>
        <v>1E-3</v>
      </c>
      <c r="M102" s="761" t="s">
        <v>884</v>
      </c>
      <c r="N102" s="759">
        <v>1</v>
      </c>
      <c r="O102" s="833">
        <f t="shared" si="6"/>
        <v>-449.99999999999488</v>
      </c>
      <c r="P102" s="361"/>
    </row>
    <row r="103" spans="1:16">
      <c r="A103" s="456" t="s">
        <v>1183</v>
      </c>
      <c r="B103" s="456" t="s">
        <v>3</v>
      </c>
      <c r="C103" s="786" t="s">
        <v>78</v>
      </c>
      <c r="D103" s="787">
        <v>41401</v>
      </c>
      <c r="E103" s="456">
        <v>1</v>
      </c>
      <c r="F103" s="834">
        <v>1.82494</v>
      </c>
      <c r="G103" s="789"/>
      <c r="H103" s="522">
        <v>41401</v>
      </c>
      <c r="I103" s="790">
        <v>1.8399300000000001</v>
      </c>
      <c r="J103" s="832">
        <f>SUM(F103-I103)*10000</f>
        <v>-149.9000000000006</v>
      </c>
      <c r="K103" s="782">
        <f t="shared" si="9"/>
        <v>8.5126000000000008</v>
      </c>
      <c r="L103" s="791">
        <f>SUM((F103-I103)/J103*K103)*E103</f>
        <v>8.5126000000000006E-4</v>
      </c>
      <c r="M103" s="761" t="s">
        <v>884</v>
      </c>
      <c r="N103" s="677">
        <f>1/0.85126</f>
        <v>1.1747292249136574</v>
      </c>
      <c r="O103" s="833">
        <f t="shared" si="6"/>
        <v>-1086.2407378124044</v>
      </c>
      <c r="P103" s="361"/>
    </row>
    <row r="104" spans="1:16" s="317" customFormat="1">
      <c r="A104" s="514" t="s">
        <v>1173</v>
      </c>
      <c r="B104" s="514" t="s">
        <v>3</v>
      </c>
      <c r="C104" s="836" t="s">
        <v>78</v>
      </c>
      <c r="D104" s="837">
        <v>41402</v>
      </c>
      <c r="E104" s="514">
        <v>1</v>
      </c>
      <c r="F104" s="838">
        <v>105.23099999999999</v>
      </c>
      <c r="G104" s="839"/>
      <c r="H104" s="525">
        <v>41403</v>
      </c>
      <c r="I104" s="840">
        <v>106.114</v>
      </c>
      <c r="J104" s="841">
        <f>SUM(F104-I104)*10000</f>
        <v>-8830.0000000000982</v>
      </c>
      <c r="K104" s="842">
        <f>SUM(100000/N104)/100</f>
        <v>10.102234614296682</v>
      </c>
      <c r="L104" s="843">
        <f>SUM((F104-I104)/J104*K104)*E104</f>
        <v>1.0102234614296681E-3</v>
      </c>
      <c r="M104" s="761" t="s">
        <v>884</v>
      </c>
      <c r="N104" s="844">
        <v>98.988</v>
      </c>
      <c r="O104" s="845">
        <f t="shared" si="6"/>
        <v>-901.14692330626644</v>
      </c>
      <c r="P104" s="361"/>
    </row>
    <row r="105" spans="1:16" s="317" customFormat="1">
      <c r="A105" s="524" t="s">
        <v>1035</v>
      </c>
      <c r="B105" s="524" t="s">
        <v>3</v>
      </c>
      <c r="C105" s="846" t="s">
        <v>53</v>
      </c>
      <c r="D105" s="847">
        <v>41402</v>
      </c>
      <c r="E105" s="524">
        <v>1</v>
      </c>
      <c r="F105" s="848">
        <v>0.84436</v>
      </c>
      <c r="G105" s="849"/>
      <c r="H105" s="525">
        <v>41403</v>
      </c>
      <c r="I105" s="850">
        <v>0.8448</v>
      </c>
      <c r="J105" s="841">
        <f>SUM(I105-F105)*10000</f>
        <v>4.3999999999999595</v>
      </c>
      <c r="K105" s="851">
        <f>SUM(100000/N105)/10000</f>
        <v>15.532400000000001</v>
      </c>
      <c r="L105" s="852">
        <f>SUM((I105-F105)/J105*K105)*E105</f>
        <v>1.5532400000000002E-3</v>
      </c>
      <c r="M105" s="761" t="s">
        <v>884</v>
      </c>
      <c r="N105" s="853">
        <f>1/1.55324</f>
        <v>0.64381550822796219</v>
      </c>
      <c r="O105" s="845">
        <f t="shared" si="6"/>
        <v>106.15239789439904</v>
      </c>
      <c r="P105" s="361"/>
    </row>
    <row r="106" spans="1:16" s="317" customFormat="1">
      <c r="A106" s="514" t="s">
        <v>1151</v>
      </c>
      <c r="B106" s="514" t="s">
        <v>3</v>
      </c>
      <c r="C106" s="836" t="s">
        <v>78</v>
      </c>
      <c r="D106" s="837">
        <v>41402</v>
      </c>
      <c r="E106" s="514">
        <v>1</v>
      </c>
      <c r="F106" s="838">
        <v>1.51999</v>
      </c>
      <c r="G106" s="839"/>
      <c r="H106" s="525">
        <v>41402</v>
      </c>
      <c r="I106" s="840">
        <v>1.5288900000000001</v>
      </c>
      <c r="J106" s="841">
        <f>SUM(F106-I106)*10000</f>
        <v>-89.000000000001307</v>
      </c>
      <c r="K106" s="842">
        <f>SUM(100000/N106)/10000</f>
        <v>10.183500000000002</v>
      </c>
      <c r="L106" s="843">
        <f>SUM((F106-I106)/J106*K106)*E106</f>
        <v>1.0183500000000001E-3</v>
      </c>
      <c r="M106" s="761" t="s">
        <v>884</v>
      </c>
      <c r="N106" s="844">
        <f>1/1.01835</f>
        <v>0.98198065498109677</v>
      </c>
      <c r="O106" s="845">
        <f t="shared" si="6"/>
        <v>-922.96268302501392</v>
      </c>
      <c r="P106" s="361"/>
    </row>
    <row r="107" spans="1:16" s="317" customFormat="1">
      <c r="A107" s="514" t="s">
        <v>1147</v>
      </c>
      <c r="B107" s="514" t="s">
        <v>3</v>
      </c>
      <c r="C107" s="836" t="s">
        <v>78</v>
      </c>
      <c r="D107" s="837">
        <v>41402</v>
      </c>
      <c r="E107" s="514">
        <v>1</v>
      </c>
      <c r="F107" s="838">
        <v>83.665999999999997</v>
      </c>
      <c r="G107" s="839"/>
      <c r="H107" s="525">
        <v>41403</v>
      </c>
      <c r="I107" s="840">
        <v>83.146000000000001</v>
      </c>
      <c r="J107" s="841">
        <f>SUM(F107-I107)*10000</f>
        <v>5199.99999999996</v>
      </c>
      <c r="K107" s="842">
        <f>SUM(100000/N107)/100</f>
        <v>10.102234614296682</v>
      </c>
      <c r="L107" s="843">
        <f>SUM((F107-I107)/J107*K107)*E107</f>
        <v>1.0102234614296683E-3</v>
      </c>
      <c r="M107" s="761" t="s">
        <v>884</v>
      </c>
      <c r="N107" s="844">
        <v>98.988</v>
      </c>
      <c r="O107" s="845">
        <f t="shared" si="6"/>
        <v>530.6867498519249</v>
      </c>
      <c r="P107" s="361"/>
    </row>
    <row r="108" spans="1:16" s="317" customFormat="1">
      <c r="A108" s="514" t="s">
        <v>1153</v>
      </c>
      <c r="B108" s="514" t="s">
        <v>3</v>
      </c>
      <c r="C108" s="836" t="s">
        <v>78</v>
      </c>
      <c r="D108" s="837">
        <v>41403</v>
      </c>
      <c r="E108" s="514">
        <v>1</v>
      </c>
      <c r="F108" s="838">
        <v>0.93361000000000005</v>
      </c>
      <c r="G108" s="839"/>
      <c r="H108" s="525">
        <v>41403</v>
      </c>
      <c r="I108" s="840">
        <v>0.93635000000000002</v>
      </c>
      <c r="J108" s="841">
        <f>SUM(F108-I108)*10000</f>
        <v>-27.399999999999647</v>
      </c>
      <c r="K108" s="842">
        <f>SUM(100000/N108)/10000</f>
        <v>10.679767181075452</v>
      </c>
      <c r="L108" s="843">
        <f>SUM((F108-I108)/J108*K108)*E108</f>
        <v>1.0679767181075452E-3</v>
      </c>
      <c r="M108" s="761" t="s">
        <v>884</v>
      </c>
      <c r="N108" s="844">
        <f>I108</f>
        <v>0.93635000000000002</v>
      </c>
      <c r="O108" s="845">
        <f t="shared" si="6"/>
        <v>-312.51735009501107</v>
      </c>
      <c r="P108" s="361"/>
    </row>
    <row r="109" spans="1:16" s="317" customFormat="1">
      <c r="A109" s="524" t="s">
        <v>1281</v>
      </c>
      <c r="B109" s="524" t="s">
        <v>3</v>
      </c>
      <c r="C109" s="846" t="s">
        <v>53</v>
      </c>
      <c r="D109" s="847">
        <v>41403</v>
      </c>
      <c r="E109" s="524">
        <v>1</v>
      </c>
      <c r="F109" s="848">
        <v>131.024</v>
      </c>
      <c r="G109" s="849"/>
      <c r="H109" s="525">
        <v>41409</v>
      </c>
      <c r="I109" s="850">
        <v>131.31200000000001</v>
      </c>
      <c r="J109" s="841">
        <f>SUM(I109-F109)*10000</f>
        <v>2880.0000000001091</v>
      </c>
      <c r="K109" s="851">
        <f>SUM(100000/N109)/100</f>
        <v>9.7661018604424044</v>
      </c>
      <c r="L109" s="852">
        <f>SUM((I109-F109)/J109*K109)*E109</f>
        <v>9.7661018604424049E-4</v>
      </c>
      <c r="M109" s="761" t="s">
        <v>884</v>
      </c>
      <c r="N109" s="853">
        <v>102.395</v>
      </c>
      <c r="O109" s="845">
        <f t="shared" si="6"/>
        <v>274.68502717979578</v>
      </c>
      <c r="P109" s="361"/>
    </row>
    <row r="110" spans="1:16" s="317" customFormat="1">
      <c r="A110" s="620" t="s">
        <v>1040</v>
      </c>
      <c r="B110" s="620" t="s">
        <v>3</v>
      </c>
      <c r="C110" s="854" t="s">
        <v>78</v>
      </c>
      <c r="D110" s="855">
        <v>41404</v>
      </c>
      <c r="E110" s="620">
        <v>1</v>
      </c>
      <c r="F110" s="856"/>
      <c r="G110" s="857"/>
      <c r="H110" s="858">
        <v>41404</v>
      </c>
      <c r="I110" s="859"/>
      <c r="J110" s="860">
        <f>SUM(F110-I110)*10000</f>
        <v>0</v>
      </c>
      <c r="K110" s="861">
        <f t="shared" ref="K110:K124" si="10">SUM(100000/N110)/10000</f>
        <v>10</v>
      </c>
      <c r="L110" s="862" t="e">
        <f>SUM((F110-I110)/J110*K110)*E110</f>
        <v>#DIV/0!</v>
      </c>
      <c r="M110" s="761" t="s">
        <v>884</v>
      </c>
      <c r="N110" s="863">
        <v>1</v>
      </c>
      <c r="O110" s="864">
        <f t="shared" si="6"/>
        <v>0</v>
      </c>
      <c r="P110" s="361"/>
    </row>
    <row r="111" spans="1:16" s="317" customFormat="1">
      <c r="A111" s="524" t="s">
        <v>1180</v>
      </c>
      <c r="B111" s="524" t="s">
        <v>3</v>
      </c>
      <c r="C111" s="846" t="s">
        <v>53</v>
      </c>
      <c r="D111" s="847">
        <v>41404</v>
      </c>
      <c r="E111" s="524">
        <v>1</v>
      </c>
      <c r="F111" s="848">
        <v>1.5551999999999999</v>
      </c>
      <c r="G111" s="849"/>
      <c r="H111" s="525">
        <v>41404</v>
      </c>
      <c r="I111" s="850">
        <v>1.55179</v>
      </c>
      <c r="J111" s="841">
        <f>SUM(I111-F111)*10000</f>
        <v>-34.099999999999127</v>
      </c>
      <c r="K111" s="851">
        <f t="shared" si="10"/>
        <v>9.9355184850321407</v>
      </c>
      <c r="L111" s="852">
        <f>SUM((I111-F111)/J111*K111)*E111</f>
        <v>9.9355184850321416E-4</v>
      </c>
      <c r="M111" s="761" t="s">
        <v>884</v>
      </c>
      <c r="N111" s="853">
        <v>1.0064900000000001</v>
      </c>
      <c r="O111" s="845">
        <f t="shared" si="6"/>
        <v>-336.6165390014678</v>
      </c>
      <c r="P111" s="361"/>
    </row>
    <row r="112" spans="1:16" s="317" customFormat="1">
      <c r="A112" s="514" t="s">
        <v>1037</v>
      </c>
      <c r="B112" s="514" t="s">
        <v>3</v>
      </c>
      <c r="C112" s="836" t="s">
        <v>78</v>
      </c>
      <c r="D112" s="837">
        <v>41408</v>
      </c>
      <c r="E112" s="514">
        <v>1</v>
      </c>
      <c r="F112" s="838">
        <v>1.4648699999999999</v>
      </c>
      <c r="G112" s="839"/>
      <c r="H112" s="525">
        <v>41409</v>
      </c>
      <c r="I112" s="840">
        <v>1.47424</v>
      </c>
      <c r="J112" s="841">
        <f>SUM(F112-I112)*10000</f>
        <v>-93.700000000001012</v>
      </c>
      <c r="K112" s="842">
        <f t="shared" si="10"/>
        <v>10.345541071798054</v>
      </c>
      <c r="L112" s="843">
        <f>SUM((F112-I112)/J112*K112)*E112</f>
        <v>1.0345541071798054E-3</v>
      </c>
      <c r="M112" s="761" t="s">
        <v>884</v>
      </c>
      <c r="N112" s="844">
        <v>0.96660000000000001</v>
      </c>
      <c r="O112" s="845">
        <f t="shared" si="6"/>
        <v>-1002.8731620396112</v>
      </c>
      <c r="P112" s="361"/>
    </row>
    <row r="113" spans="1:16" s="317" customFormat="1">
      <c r="A113" s="621" t="s">
        <v>1146</v>
      </c>
      <c r="B113" s="621" t="s">
        <v>3</v>
      </c>
      <c r="C113" s="865" t="s">
        <v>53</v>
      </c>
      <c r="D113" s="866">
        <v>41409</v>
      </c>
      <c r="E113" s="621">
        <v>1</v>
      </c>
      <c r="F113" s="867"/>
      <c r="G113" s="868"/>
      <c r="H113" s="858">
        <v>41411</v>
      </c>
      <c r="I113" s="869"/>
      <c r="J113" s="860">
        <f>SUM(I113-F113)*10000</f>
        <v>0</v>
      </c>
      <c r="K113" s="870">
        <f t="shared" si="10"/>
        <v>9.811424422597673</v>
      </c>
      <c r="L113" s="871" t="e">
        <f>SUM((I113-F113)/J113*K113)*E113</f>
        <v>#DIV/0!</v>
      </c>
      <c r="M113" s="761" t="s">
        <v>884</v>
      </c>
      <c r="N113" s="872">
        <v>1.01922</v>
      </c>
      <c r="O113" s="864">
        <f t="shared" si="6"/>
        <v>0</v>
      </c>
      <c r="P113" s="361"/>
    </row>
    <row r="114" spans="1:16">
      <c r="A114" s="524" t="s">
        <v>1148</v>
      </c>
      <c r="B114" s="524" t="s">
        <v>3</v>
      </c>
      <c r="C114" s="846" t="s">
        <v>53</v>
      </c>
      <c r="D114" s="847">
        <v>41415</v>
      </c>
      <c r="E114" s="524">
        <v>1</v>
      </c>
      <c r="F114" s="848">
        <v>1.00735</v>
      </c>
      <c r="G114" s="849"/>
      <c r="H114" s="525">
        <v>41416</v>
      </c>
      <c r="I114" s="850">
        <v>1.0005200000000001</v>
      </c>
      <c r="J114" s="841">
        <f>SUM(I114-F114)*10000</f>
        <v>-68.299999999998917</v>
      </c>
      <c r="K114" s="851">
        <f t="shared" si="10"/>
        <v>9.7405127405906651</v>
      </c>
      <c r="L114" s="852">
        <f>SUM((I114-F114)/J114*K114)*E114</f>
        <v>9.7405127405906654E-4</v>
      </c>
      <c r="M114" s="761" t="s">
        <v>884</v>
      </c>
      <c r="N114" s="853">
        <v>1.02664</v>
      </c>
      <c r="O114" s="845">
        <f t="shared" si="6"/>
        <v>-648.01392911081962</v>
      </c>
    </row>
    <row r="115" spans="1:16">
      <c r="A115" s="524" t="s">
        <v>1179</v>
      </c>
      <c r="B115" s="524" t="s">
        <v>3</v>
      </c>
      <c r="C115" s="846" t="s">
        <v>53</v>
      </c>
      <c r="D115" s="847">
        <v>41415</v>
      </c>
      <c r="E115" s="524">
        <v>1</v>
      </c>
      <c r="F115" s="848">
        <v>0.81925000000000003</v>
      </c>
      <c r="G115" s="849"/>
      <c r="H115" s="525">
        <v>41416</v>
      </c>
      <c r="I115" s="850">
        <v>0.81174999999999997</v>
      </c>
      <c r="J115" s="841">
        <f>SUM(I115-F115)*10000</f>
        <v>-75.000000000000625</v>
      </c>
      <c r="K115" s="851">
        <f t="shared" si="10"/>
        <v>10</v>
      </c>
      <c r="L115" s="852">
        <f>SUM((I115-F115)/J115*K115)*E115</f>
        <v>1E-3</v>
      </c>
      <c r="M115" s="761" t="s">
        <v>884</v>
      </c>
      <c r="N115" s="853">
        <v>1</v>
      </c>
      <c r="O115" s="845">
        <f t="shared" si="6"/>
        <v>-750.00000000000625</v>
      </c>
    </row>
    <row r="116" spans="1:16">
      <c r="A116" s="524" t="s">
        <v>1150</v>
      </c>
      <c r="B116" s="524" t="s">
        <v>3</v>
      </c>
      <c r="C116" s="846" t="s">
        <v>53</v>
      </c>
      <c r="D116" s="847">
        <v>41415</v>
      </c>
      <c r="E116" s="524">
        <v>1</v>
      </c>
      <c r="F116" s="848">
        <v>0.94920000000000004</v>
      </c>
      <c r="G116" s="849"/>
      <c r="H116" s="525">
        <v>41417</v>
      </c>
      <c r="I116" s="850">
        <v>0.94460999999999995</v>
      </c>
      <c r="J116" s="841">
        <f>SUM(I116-F116)*10000</f>
        <v>-45.900000000000944</v>
      </c>
      <c r="K116" s="851">
        <f t="shared" si="10"/>
        <v>9.694901451326747E-2</v>
      </c>
      <c r="L116" s="852">
        <f>SUM((I116-F116)/J116*K116)*E116</f>
        <v>9.6949014513267459E-6</v>
      </c>
      <c r="M116" s="761" t="s">
        <v>884</v>
      </c>
      <c r="N116" s="853">
        <v>103.14700000000001</v>
      </c>
      <c r="O116" s="845">
        <f t="shared" si="6"/>
        <v>-4.3141921395281183E-2</v>
      </c>
      <c r="P116" s="361"/>
    </row>
    <row r="117" spans="1:16">
      <c r="A117" s="524" t="s">
        <v>1064</v>
      </c>
      <c r="B117" s="524" t="s">
        <v>3</v>
      </c>
      <c r="C117" s="846" t="s">
        <v>53</v>
      </c>
      <c r="D117" s="847">
        <v>41415</v>
      </c>
      <c r="E117" s="524">
        <v>1</v>
      </c>
      <c r="F117" s="848">
        <v>0.98304999999999998</v>
      </c>
      <c r="G117" s="849"/>
      <c r="H117" s="525">
        <v>41416</v>
      </c>
      <c r="I117" s="850">
        <v>0.97369000000000006</v>
      </c>
      <c r="J117" s="841">
        <f>SUM(I117-F117)*10000</f>
        <v>-93.599999999999241</v>
      </c>
      <c r="K117" s="851">
        <f t="shared" si="10"/>
        <v>10</v>
      </c>
      <c r="L117" s="852">
        <f>SUM((I117-F117)/J117*K117)*E117</f>
        <v>1E-3</v>
      </c>
      <c r="M117" s="761" t="s">
        <v>884</v>
      </c>
      <c r="N117" s="853">
        <v>1</v>
      </c>
      <c r="O117" s="845">
        <f t="shared" si="6"/>
        <v>-935.99999999999238</v>
      </c>
    </row>
    <row r="118" spans="1:16">
      <c r="A118" s="514" t="s">
        <v>1151</v>
      </c>
      <c r="B118" s="514" t="s">
        <v>3</v>
      </c>
      <c r="C118" s="836" t="s">
        <v>78</v>
      </c>
      <c r="D118" s="837">
        <v>41415</v>
      </c>
      <c r="E118" s="514">
        <v>1</v>
      </c>
      <c r="F118" s="838">
        <v>1.552</v>
      </c>
      <c r="G118" s="839"/>
      <c r="H118" s="525">
        <v>41417</v>
      </c>
      <c r="I118" s="840">
        <v>1.5659799999999999</v>
      </c>
      <c r="J118" s="841">
        <f>SUM(F118-I118)*10000</f>
        <v>-139.79999999999882</v>
      </c>
      <c r="K118" s="842">
        <f t="shared" si="10"/>
        <v>9.6984999999999992</v>
      </c>
      <c r="L118" s="843">
        <f>SUM((F118-I118)/J118*K118)*E118</f>
        <v>9.6984999999999986E-4</v>
      </c>
      <c r="M118" s="761" t="s">
        <v>884</v>
      </c>
      <c r="N118" s="844">
        <f>1/0.96985</f>
        <v>1.0310872815383822</v>
      </c>
      <c r="O118" s="845">
        <f t="shared" si="6"/>
        <v>-1314.9714134549888</v>
      </c>
    </row>
    <row r="119" spans="1:16">
      <c r="A119" s="524" t="s">
        <v>1152</v>
      </c>
      <c r="B119" s="524" t="s">
        <v>3</v>
      </c>
      <c r="C119" s="846" t="s">
        <v>53</v>
      </c>
      <c r="D119" s="847">
        <v>41421</v>
      </c>
      <c r="E119" s="524">
        <v>1</v>
      </c>
      <c r="F119" s="848">
        <v>1.514</v>
      </c>
      <c r="G119" s="849"/>
      <c r="H119" s="525">
        <v>41422</v>
      </c>
      <c r="I119" s="850">
        <v>1.5063</v>
      </c>
      <c r="J119" s="841">
        <f>SUM(I119-F119)*10000</f>
        <v>-77.000000000000398</v>
      </c>
      <c r="K119" s="851">
        <f t="shared" si="10"/>
        <v>10</v>
      </c>
      <c r="L119" s="852">
        <f>SUM((I119-F119)/J119*K119)*E119</f>
        <v>1E-3</v>
      </c>
      <c r="M119" s="761" t="s">
        <v>884</v>
      </c>
      <c r="N119" s="853">
        <v>1</v>
      </c>
      <c r="O119" s="845">
        <f t="shared" si="6"/>
        <v>-770.00000000000398</v>
      </c>
    </row>
    <row r="120" spans="1:16">
      <c r="A120" s="514" t="s">
        <v>1065</v>
      </c>
      <c r="B120" s="514" t="s">
        <v>3</v>
      </c>
      <c r="C120" s="836" t="s">
        <v>78</v>
      </c>
      <c r="D120" s="837">
        <v>41421</v>
      </c>
      <c r="E120" s="514">
        <v>1</v>
      </c>
      <c r="F120" s="838">
        <v>1.262</v>
      </c>
      <c r="G120" s="839"/>
      <c r="H120" s="525">
        <v>41422</v>
      </c>
      <c r="I120" s="840">
        <v>1.2663</v>
      </c>
      <c r="J120" s="841">
        <f>SUM(F120-I120)*10000</f>
        <v>-42.999999999999702</v>
      </c>
      <c r="K120" s="842">
        <f t="shared" si="10"/>
        <v>7.8970228223959564</v>
      </c>
      <c r="L120" s="843">
        <f>SUM((F120-I120)/J120*K120)*E120</f>
        <v>7.8970228223959572E-4</v>
      </c>
      <c r="M120" s="761" t="s">
        <v>884</v>
      </c>
      <c r="N120" s="844">
        <f>I120</f>
        <v>1.2663</v>
      </c>
      <c r="O120" s="845">
        <f t="shared" si="6"/>
        <v>-268.16076866700132</v>
      </c>
    </row>
    <row r="121" spans="1:16">
      <c r="A121" s="524" t="s">
        <v>1040</v>
      </c>
      <c r="B121" s="524" t="s">
        <v>3</v>
      </c>
      <c r="C121" s="846" t="s">
        <v>53</v>
      </c>
      <c r="D121" s="847">
        <v>41415</v>
      </c>
      <c r="E121" s="524">
        <v>1</v>
      </c>
      <c r="F121" s="848">
        <v>1.2905500000000001</v>
      </c>
      <c r="G121" s="849"/>
      <c r="H121" s="525">
        <v>41422</v>
      </c>
      <c r="I121" s="850">
        <v>1.2915000000000001</v>
      </c>
      <c r="J121" s="841">
        <f>SUM(I121-F121)*10000</f>
        <v>9.5000000000000639</v>
      </c>
      <c r="K121" s="851">
        <f t="shared" si="10"/>
        <v>10</v>
      </c>
      <c r="L121" s="852">
        <f>SUM((I121-F121)/J121*K121)*E121</f>
        <v>1E-3</v>
      </c>
      <c r="M121" s="761" t="s">
        <v>884</v>
      </c>
      <c r="N121" s="853">
        <v>1</v>
      </c>
      <c r="O121" s="845">
        <f t="shared" ref="O121:O150" si="11">SUM(J121*K121)/N121</f>
        <v>95.000000000000639</v>
      </c>
    </row>
    <row r="122" spans="1:16">
      <c r="A122" s="514" t="s">
        <v>1037</v>
      </c>
      <c r="B122" s="514" t="s">
        <v>3</v>
      </c>
      <c r="C122" s="836" t="s">
        <v>78</v>
      </c>
      <c r="D122" s="837">
        <v>41425</v>
      </c>
      <c r="E122" s="514">
        <v>1</v>
      </c>
      <c r="F122" s="838">
        <v>1.4497</v>
      </c>
      <c r="G122" s="839"/>
      <c r="H122" s="525">
        <v>41428</v>
      </c>
      <c r="I122" s="840">
        <v>1.46254</v>
      </c>
      <c r="J122" s="841">
        <f>SUM(F122-I122)*10000</f>
        <v>-128.39999999999964</v>
      </c>
      <c r="K122" s="842">
        <f t="shared" si="10"/>
        <v>10.462549304763598</v>
      </c>
      <c r="L122" s="843">
        <f>SUM((F122-I122)/J122*K122)*E122</f>
        <v>1.0462549304763597E-3</v>
      </c>
      <c r="M122" s="761" t="s">
        <v>884</v>
      </c>
      <c r="N122" s="844">
        <v>0.95579000000000003</v>
      </c>
      <c r="O122" s="845">
        <f t="shared" si="11"/>
        <v>-1405.5298033371789</v>
      </c>
    </row>
    <row r="123" spans="1:16">
      <c r="A123" s="524" t="s">
        <v>1154</v>
      </c>
      <c r="B123" s="524" t="s">
        <v>3</v>
      </c>
      <c r="C123" s="846" t="s">
        <v>53</v>
      </c>
      <c r="D123" s="847">
        <v>41425</v>
      </c>
      <c r="E123" s="524">
        <v>1</v>
      </c>
      <c r="F123" s="848">
        <v>1.1987000000000001</v>
      </c>
      <c r="G123" s="849"/>
      <c r="H123" s="525">
        <v>41430</v>
      </c>
      <c r="I123" s="850">
        <v>1.2033199999999999</v>
      </c>
      <c r="J123" s="841">
        <f>SUM(I123-F123)*10000</f>
        <v>46.199999999998468</v>
      </c>
      <c r="K123" s="851">
        <f t="shared" si="10"/>
        <v>8.0157000000000007</v>
      </c>
      <c r="L123" s="852">
        <f>SUM((I123-F123)/J123*K123)*E123</f>
        <v>8.0157000000000004E-4</v>
      </c>
      <c r="M123" s="761" t="s">
        <v>884</v>
      </c>
      <c r="N123" s="850">
        <f>1/0.80157</f>
        <v>1.2475516798283368</v>
      </c>
      <c r="O123" s="845">
        <f t="shared" si="11"/>
        <v>296.84168278379019</v>
      </c>
    </row>
    <row r="124" spans="1:16">
      <c r="A124" s="524" t="s">
        <v>1064</v>
      </c>
      <c r="B124" s="524" t="s">
        <v>3</v>
      </c>
      <c r="C124" s="846" t="s">
        <v>53</v>
      </c>
      <c r="D124" s="847">
        <v>41428</v>
      </c>
      <c r="E124" s="524">
        <v>1</v>
      </c>
      <c r="F124" s="848">
        <v>0.9698</v>
      </c>
      <c r="G124" s="849"/>
      <c r="H124" s="525">
        <v>41431</v>
      </c>
      <c r="I124" s="850">
        <v>0.95240000000000002</v>
      </c>
      <c r="J124" s="841">
        <f>SUM(I124-F124)*10000</f>
        <v>-173.99999999999972</v>
      </c>
      <c r="K124" s="851">
        <f t="shared" si="10"/>
        <v>10</v>
      </c>
      <c r="L124" s="852">
        <f>SUM((I124-F124)/J124*K124)*E124</f>
        <v>1E-3</v>
      </c>
      <c r="M124" s="761" t="s">
        <v>884</v>
      </c>
      <c r="N124" s="850">
        <v>1</v>
      </c>
      <c r="O124" s="845">
        <f t="shared" si="11"/>
        <v>-1739.9999999999973</v>
      </c>
    </row>
    <row r="125" spans="1:16">
      <c r="A125" s="524" t="s">
        <v>1162</v>
      </c>
      <c r="B125" s="524" t="s">
        <v>3</v>
      </c>
      <c r="C125" s="846" t="s">
        <v>53</v>
      </c>
      <c r="D125" s="847">
        <v>41435</v>
      </c>
      <c r="E125" s="524">
        <v>1</v>
      </c>
      <c r="F125" s="848">
        <v>93.28</v>
      </c>
      <c r="G125" s="849"/>
      <c r="H125" s="525">
        <v>41436</v>
      </c>
      <c r="I125" s="850">
        <v>92.15</v>
      </c>
      <c r="J125" s="841">
        <f>SUM(I125-F125)*10000</f>
        <v>-11299.999999999955</v>
      </c>
      <c r="K125" s="851">
        <f>SUM(100000/N125)/100</f>
        <v>10.125967029851351</v>
      </c>
      <c r="L125" s="852">
        <f>SUM((I125-F125)/J125*K125)*E125</f>
        <v>1.0125967029851351E-3</v>
      </c>
      <c r="M125" s="761" t="s">
        <v>884</v>
      </c>
      <c r="N125" s="853">
        <v>98.756</v>
      </c>
      <c r="O125" s="845">
        <f t="shared" si="11"/>
        <v>-1158.6478536728887</v>
      </c>
    </row>
    <row r="126" spans="1:16">
      <c r="A126" s="524" t="s">
        <v>1155</v>
      </c>
      <c r="B126" s="524" t="s">
        <v>3</v>
      </c>
      <c r="C126" s="846" t="s">
        <v>53</v>
      </c>
      <c r="D126" s="847">
        <v>41435</v>
      </c>
      <c r="E126" s="524">
        <v>1</v>
      </c>
      <c r="F126" s="848">
        <v>0.91854999999999998</v>
      </c>
      <c r="G126" s="849"/>
      <c r="H126" s="525">
        <v>41436</v>
      </c>
      <c r="I126" s="850">
        <v>0.9133</v>
      </c>
      <c r="J126" s="841">
        <f>SUM(I126-F126)*10000</f>
        <v>-52.499999999999773</v>
      </c>
      <c r="K126" s="851">
        <f>SUM(100000/N126)/10000</f>
        <v>10.713864812453796</v>
      </c>
      <c r="L126" s="852">
        <f>SUM((I126-F126)/J126*K126)*E126</f>
        <v>1.0713864812453794E-3</v>
      </c>
      <c r="M126" s="761" t="s">
        <v>884</v>
      </c>
      <c r="N126" s="853">
        <v>0.93337000000000003</v>
      </c>
      <c r="O126" s="845">
        <f t="shared" si="11"/>
        <v>-602.63122090255933</v>
      </c>
    </row>
    <row r="127" spans="1:16">
      <c r="A127" s="524" t="s">
        <v>1156</v>
      </c>
      <c r="B127" s="524" t="s">
        <v>3</v>
      </c>
      <c r="C127" s="846" t="s">
        <v>53</v>
      </c>
      <c r="D127" s="847">
        <v>41435</v>
      </c>
      <c r="E127" s="524">
        <v>1</v>
      </c>
      <c r="F127" s="848">
        <v>96.53</v>
      </c>
      <c r="G127" s="849"/>
      <c r="H127" s="525">
        <v>41437</v>
      </c>
      <c r="I127" s="850">
        <v>95.635999999999996</v>
      </c>
      <c r="J127" s="841">
        <f>SUM(I127-F127)*10000</f>
        <v>-8940.0000000000546</v>
      </c>
      <c r="K127" s="851">
        <f>SUM(100000/N127)/100</f>
        <v>10.416449657298806</v>
      </c>
      <c r="L127" s="852">
        <f>SUM((I127-F127)/J127*K127)*E127</f>
        <v>1.0416449657298806E-3</v>
      </c>
      <c r="M127" s="761" t="s">
        <v>884</v>
      </c>
      <c r="N127" s="853">
        <v>96.001999999999995</v>
      </c>
      <c r="O127" s="845">
        <f t="shared" si="11"/>
        <v>-970.01166575958723</v>
      </c>
    </row>
    <row r="128" spans="1:16">
      <c r="A128" s="514" t="s">
        <v>1146</v>
      </c>
      <c r="B128" s="514" t="s">
        <v>3</v>
      </c>
      <c r="C128" s="836" t="s">
        <v>78</v>
      </c>
      <c r="D128" s="837">
        <v>41435</v>
      </c>
      <c r="E128" s="514">
        <v>1</v>
      </c>
      <c r="F128" s="838">
        <v>1.3443000000000001</v>
      </c>
      <c r="G128" s="839"/>
      <c r="H128" s="525">
        <v>41437</v>
      </c>
      <c r="I128" s="840">
        <v>1.3539000000000001</v>
      </c>
      <c r="J128" s="841">
        <f>SUM(F128-I128)*10000</f>
        <v>-96.000000000000526</v>
      </c>
      <c r="K128" s="842">
        <f t="shared" ref="K128:K135" si="12">SUM(100000/N128)/10000</f>
        <v>9.8169145437588963</v>
      </c>
      <c r="L128" s="843">
        <f>SUM((F128-I128)/J128*K128)*E128</f>
        <v>9.8169145437588959E-4</v>
      </c>
      <c r="M128" s="761" t="s">
        <v>884</v>
      </c>
      <c r="N128" s="844">
        <v>1.0186500000000001</v>
      </c>
      <c r="O128" s="845">
        <f t="shared" si="11"/>
        <v>-925.16938713086847</v>
      </c>
    </row>
    <row r="129" spans="1:16">
      <c r="A129" s="514" t="s">
        <v>1180</v>
      </c>
      <c r="B129" s="514" t="s">
        <v>3</v>
      </c>
      <c r="C129" s="836" t="s">
        <v>78</v>
      </c>
      <c r="D129" s="837">
        <v>41435</v>
      </c>
      <c r="E129" s="514">
        <v>1</v>
      </c>
      <c r="F129" s="838">
        <v>1.579</v>
      </c>
      <c r="G129" s="839"/>
      <c r="H129" s="525">
        <v>41438</v>
      </c>
      <c r="I129" s="840">
        <v>1.59378</v>
      </c>
      <c r="J129" s="841">
        <f>SUM(F129-I129)*10000</f>
        <v>-147.80000000000015</v>
      </c>
      <c r="K129" s="842">
        <f t="shared" si="12"/>
        <v>9.7955665265900667</v>
      </c>
      <c r="L129" s="843">
        <f>SUM((F129-I129)/J129*K129)*E129</f>
        <v>9.7955665265900662E-4</v>
      </c>
      <c r="M129" s="761" t="s">
        <v>884</v>
      </c>
      <c r="N129" s="844">
        <v>1.0208699999999999</v>
      </c>
      <c r="O129" s="845">
        <f t="shared" si="11"/>
        <v>-1418.1871664658709</v>
      </c>
    </row>
    <row r="130" spans="1:16">
      <c r="A130" s="621" t="s">
        <v>1153</v>
      </c>
      <c r="B130" s="621" t="s">
        <v>3</v>
      </c>
      <c r="C130" s="865" t="s">
        <v>53</v>
      </c>
      <c r="D130" s="866">
        <v>41444</v>
      </c>
      <c r="E130" s="621">
        <v>1</v>
      </c>
      <c r="F130" s="867">
        <v>0.92727999999999999</v>
      </c>
      <c r="G130" s="868"/>
      <c r="H130" s="873">
        <v>41446</v>
      </c>
      <c r="I130" s="869">
        <v>0.92510000000000003</v>
      </c>
      <c r="J130" s="860">
        <f>SUM(I130-F130)*10000</f>
        <v>-21.799999999999599</v>
      </c>
      <c r="K130" s="870">
        <f t="shared" si="12"/>
        <v>10.809642200843152</v>
      </c>
      <c r="L130" s="871">
        <f>SUM((I130-F130)/J130*K130)*E130</f>
        <v>1.0809642200843152E-3</v>
      </c>
      <c r="M130" s="761" t="s">
        <v>884</v>
      </c>
      <c r="N130" s="872">
        <f>I130</f>
        <v>0.92510000000000003</v>
      </c>
      <c r="O130" s="864">
        <f t="shared" si="11"/>
        <v>-254.72943463233852</v>
      </c>
      <c r="P130" s="361"/>
    </row>
    <row r="131" spans="1:16">
      <c r="A131" s="14" t="s">
        <v>1183</v>
      </c>
      <c r="B131" s="14" t="s">
        <v>3</v>
      </c>
      <c r="C131" s="761" t="s">
        <v>53</v>
      </c>
      <c r="D131" s="439">
        <v>41445</v>
      </c>
      <c r="E131" s="14">
        <v>1</v>
      </c>
      <c r="F131" s="768">
        <v>1.9712000000000001</v>
      </c>
      <c r="G131" s="502"/>
      <c r="H131" s="543">
        <v>41446</v>
      </c>
      <c r="I131" s="763">
        <v>1.9886999999999999</v>
      </c>
      <c r="J131" s="832">
        <f>SUM(I131-F131)*10000</f>
        <v>174.99999999999849</v>
      </c>
      <c r="K131" s="426">
        <f t="shared" si="12"/>
        <v>7.7545999999999999</v>
      </c>
      <c r="L131" s="764">
        <f>SUM((I131-F131)/J131*K131)*E131</f>
        <v>7.7545999999999995E-4</v>
      </c>
      <c r="M131" s="761" t="s">
        <v>884</v>
      </c>
      <c r="N131" s="759">
        <f>1/0.77546</f>
        <v>1.2895571660691718</v>
      </c>
      <c r="O131" s="833">
        <f t="shared" si="11"/>
        <v>1052.3418702999909</v>
      </c>
      <c r="P131" s="361"/>
    </row>
    <row r="132" spans="1:16">
      <c r="A132" s="14" t="s">
        <v>1036</v>
      </c>
      <c r="B132" s="14" t="s">
        <v>3</v>
      </c>
      <c r="C132" s="761" t="s">
        <v>53</v>
      </c>
      <c r="D132" s="439">
        <v>41444</v>
      </c>
      <c r="E132" s="14">
        <v>1</v>
      </c>
      <c r="F132" s="768">
        <v>1.0251999999999999</v>
      </c>
      <c r="G132" s="502"/>
      <c r="H132" s="543">
        <v>41450</v>
      </c>
      <c r="I132" s="763">
        <v>1.04643</v>
      </c>
      <c r="J132" s="832">
        <f>SUM(I132-F132)*10000</f>
        <v>212.30000000000081</v>
      </c>
      <c r="K132" s="426">
        <f t="shared" si="12"/>
        <v>9.556300947029424</v>
      </c>
      <c r="L132" s="764">
        <f>SUM((I132-F132)/J132*K132)*E132</f>
        <v>9.5563009470294249E-4</v>
      </c>
      <c r="M132" s="761" t="s">
        <v>884</v>
      </c>
      <c r="N132" s="759">
        <f>I132</f>
        <v>1.04643</v>
      </c>
      <c r="O132" s="833">
        <f t="shared" si="11"/>
        <v>1938.7849077858571</v>
      </c>
      <c r="P132" s="361"/>
    </row>
    <row r="133" spans="1:16">
      <c r="A133" s="456" t="s">
        <v>1040</v>
      </c>
      <c r="B133" s="456" t="s">
        <v>3</v>
      </c>
      <c r="C133" s="786" t="s">
        <v>78</v>
      </c>
      <c r="D133" s="787">
        <v>41445</v>
      </c>
      <c r="E133" s="456">
        <v>1</v>
      </c>
      <c r="F133" s="834">
        <v>1.3257000000000001</v>
      </c>
      <c r="G133" s="789"/>
      <c r="H133" s="543">
        <v>41450</v>
      </c>
      <c r="I133" s="790">
        <v>1.3137000000000001</v>
      </c>
      <c r="J133" s="832">
        <f>SUM(F133-I133)*10000</f>
        <v>120.00000000000011</v>
      </c>
      <c r="K133" s="782">
        <f t="shared" si="12"/>
        <v>10</v>
      </c>
      <c r="L133" s="791">
        <f>SUM((F133-I133)/J133*K133)*E133</f>
        <v>1E-3</v>
      </c>
      <c r="M133" s="761" t="s">
        <v>884</v>
      </c>
      <c r="N133" s="677">
        <v>1</v>
      </c>
      <c r="O133" s="833">
        <f t="shared" si="11"/>
        <v>1200.0000000000011</v>
      </c>
      <c r="P133" s="276"/>
    </row>
    <row r="134" spans="1:16">
      <c r="A134" s="14" t="s">
        <v>1150</v>
      </c>
      <c r="B134" s="14" t="s">
        <v>3</v>
      </c>
      <c r="C134" s="761" t="s">
        <v>53</v>
      </c>
      <c r="D134" s="439">
        <v>41451</v>
      </c>
      <c r="E134" s="14">
        <v>1</v>
      </c>
      <c r="F134" s="768">
        <v>0.87860000000000005</v>
      </c>
      <c r="G134" s="502"/>
      <c r="H134" s="543">
        <v>41453</v>
      </c>
      <c r="I134" s="763">
        <v>0.87634999999999996</v>
      </c>
      <c r="J134" s="832">
        <f>SUM(I134-F134)*10000</f>
        <v>-22.500000000000853</v>
      </c>
      <c r="K134" s="426">
        <f t="shared" si="12"/>
        <v>10.579771476936097</v>
      </c>
      <c r="L134" s="764">
        <f>SUM((I134-F134)/J134*K134)*E134</f>
        <v>1.0579771476936098E-3</v>
      </c>
      <c r="M134" s="761" t="s">
        <v>884</v>
      </c>
      <c r="N134" s="759">
        <v>0.94520000000000004</v>
      </c>
      <c r="O134" s="833">
        <f t="shared" si="11"/>
        <v>-251.84602013443842</v>
      </c>
      <c r="P134" s="361"/>
    </row>
    <row r="135" spans="1:16">
      <c r="A135" s="14" t="s">
        <v>1154</v>
      </c>
      <c r="B135" s="14" t="s">
        <v>3</v>
      </c>
      <c r="C135" s="761" t="s">
        <v>53</v>
      </c>
      <c r="D135" s="439">
        <v>41449</v>
      </c>
      <c r="E135" s="14">
        <v>1</v>
      </c>
      <c r="F135" s="768">
        <v>1.1952</v>
      </c>
      <c r="G135" s="502"/>
      <c r="H135" s="543">
        <v>41453</v>
      </c>
      <c r="I135" s="763">
        <v>1.1854</v>
      </c>
      <c r="J135" s="832">
        <f>SUM(I135-F135)*10000</f>
        <v>-98.000000000000313</v>
      </c>
      <c r="K135" s="426">
        <f t="shared" si="12"/>
        <v>7.7934000000000019</v>
      </c>
      <c r="L135" s="764">
        <f>SUM((I135-F135)/J135*K135)*E135</f>
        <v>7.7934000000000011E-4</v>
      </c>
      <c r="M135" s="761" t="s">
        <v>884</v>
      </c>
      <c r="N135" s="759">
        <f>1/0.77934</f>
        <v>1.2831370133702875</v>
      </c>
      <c r="O135" s="833">
        <f t="shared" si="11"/>
        <v>-595.22341888800213</v>
      </c>
    </row>
    <row r="136" spans="1:16">
      <c r="A136" s="14" t="s">
        <v>1162</v>
      </c>
      <c r="B136" s="14" t="s">
        <v>3</v>
      </c>
      <c r="C136" s="761" t="s">
        <v>53</v>
      </c>
      <c r="D136" s="439">
        <v>41452</v>
      </c>
      <c r="E136" s="14">
        <v>1</v>
      </c>
      <c r="F136" s="768">
        <v>91.51</v>
      </c>
      <c r="G136" s="502"/>
      <c r="H136" s="543">
        <v>41458</v>
      </c>
      <c r="I136" s="763">
        <v>90.381</v>
      </c>
      <c r="J136" s="832">
        <f>SUM(I136-F136)*10000</f>
        <v>-11290.000000000049</v>
      </c>
      <c r="K136" s="426">
        <f>SUM(100000/N136)/100</f>
        <v>9.9386783545524118</v>
      </c>
      <c r="L136" s="764">
        <f>SUM((I136-F136)/J136*K136)*E136</f>
        <v>9.9386783545524107E-4</v>
      </c>
      <c r="M136" s="761" t="s">
        <v>884</v>
      </c>
      <c r="N136" s="759">
        <v>100.617</v>
      </c>
      <c r="O136" s="833">
        <f t="shared" si="11"/>
        <v>-1115.196026743962</v>
      </c>
    </row>
    <row r="137" spans="1:16">
      <c r="A137" s="456" t="s">
        <v>1124</v>
      </c>
      <c r="B137" s="456" t="s">
        <v>3</v>
      </c>
      <c r="C137" s="786" t="s">
        <v>78</v>
      </c>
      <c r="D137" s="787">
        <v>41450</v>
      </c>
      <c r="E137" s="456">
        <v>1</v>
      </c>
      <c r="F137" s="834">
        <v>1.4118999999999999</v>
      </c>
      <c r="G137" s="789"/>
      <c r="H137" s="543">
        <v>41458</v>
      </c>
      <c r="I137" s="790">
        <v>1.4314</v>
      </c>
      <c r="J137" s="832">
        <f>SUM(F137-I137)*10000</f>
        <v>-195.00000000000074</v>
      </c>
      <c r="K137" s="782">
        <f>SUM(100000/N137)/10000</f>
        <v>9.1456999999999979</v>
      </c>
      <c r="L137" s="791">
        <f>SUM((F137-I137)/J137*K137)*E137</f>
        <v>9.1456999999999975E-4</v>
      </c>
      <c r="M137" s="761" t="s">
        <v>884</v>
      </c>
      <c r="N137" s="677">
        <f>1/0.91457</f>
        <v>1.0934100178225834</v>
      </c>
      <c r="O137" s="833">
        <f t="shared" si="11"/>
        <v>-1631.0546555550056</v>
      </c>
      <c r="P137" s="276"/>
    </row>
    <row r="138" spans="1:16">
      <c r="A138" s="14" t="s">
        <v>1150</v>
      </c>
      <c r="B138" s="14" t="s">
        <v>3</v>
      </c>
      <c r="C138" s="761" t="s">
        <v>53</v>
      </c>
      <c r="D138" s="439">
        <v>41452</v>
      </c>
      <c r="E138" s="14">
        <v>1</v>
      </c>
      <c r="F138" s="768">
        <v>0.87860000000000005</v>
      </c>
      <c r="G138" s="502"/>
      <c r="H138" s="543">
        <v>41466</v>
      </c>
      <c r="I138" s="763">
        <v>0.871</v>
      </c>
      <c r="J138" s="832">
        <f>SUM(I138-F138)*10000</f>
        <v>-76.000000000000512</v>
      </c>
      <c r="K138" s="426">
        <f>SUM(100000/N138)/10000</f>
        <v>10.436016781114985</v>
      </c>
      <c r="L138" s="764">
        <f>SUM((I138-F138)/J138*K138)*E138</f>
        <v>1.0436016781114985E-3</v>
      </c>
      <c r="M138" s="761" t="s">
        <v>884</v>
      </c>
      <c r="N138" s="759">
        <v>0.95821999999999996</v>
      </c>
      <c r="O138" s="833">
        <f t="shared" si="11"/>
        <v>-827.71939154342863</v>
      </c>
      <c r="P138" s="361"/>
    </row>
    <row r="139" spans="1:16">
      <c r="A139" s="14" t="s">
        <v>1149</v>
      </c>
      <c r="B139" s="14" t="s">
        <v>3</v>
      </c>
      <c r="C139" s="761" t="s">
        <v>53</v>
      </c>
      <c r="D139" s="439">
        <v>41456</v>
      </c>
      <c r="E139" s="14">
        <v>1</v>
      </c>
      <c r="F139" s="768">
        <v>1.2363999999999999</v>
      </c>
      <c r="G139" s="502"/>
      <c r="H139" s="543">
        <v>41466</v>
      </c>
      <c r="I139" s="763">
        <v>1.2375</v>
      </c>
      <c r="J139" s="832">
        <f>SUM(I139-F139)*10000</f>
        <v>11.000000000001009</v>
      </c>
      <c r="K139" s="426">
        <f>SUM(100000/N139)/10000</f>
        <v>10.436016781114985</v>
      </c>
      <c r="L139" s="764">
        <f>SUM((I139-F139)/J139*K139)*E139</f>
        <v>1.0436016781114985E-3</v>
      </c>
      <c r="M139" s="761" t="s">
        <v>884</v>
      </c>
      <c r="N139" s="759">
        <v>0.95821999999999996</v>
      </c>
      <c r="O139" s="833">
        <f t="shared" si="11"/>
        <v>119.80149088129592</v>
      </c>
    </row>
    <row r="140" spans="1:16">
      <c r="A140" s="14" t="s">
        <v>1125</v>
      </c>
      <c r="B140" s="14" t="s">
        <v>3</v>
      </c>
      <c r="C140" s="761" t="s">
        <v>53</v>
      </c>
      <c r="D140" s="439">
        <v>41465</v>
      </c>
      <c r="E140" s="14">
        <v>1</v>
      </c>
      <c r="F140" s="768">
        <v>1.1758</v>
      </c>
      <c r="G140" s="502"/>
      <c r="H140" s="543">
        <v>41467</v>
      </c>
      <c r="I140" s="763">
        <v>1.1498999999999999</v>
      </c>
      <c r="J140" s="832">
        <f>SUM(I140-F140)*10000</f>
        <v>-259.00000000000034</v>
      </c>
      <c r="K140" s="426">
        <f>SUM(100000/N140)/10000</f>
        <v>7.9441368298127566</v>
      </c>
      <c r="L140" s="764">
        <f>SUM((I140-F140)/J140*K140)*E140</f>
        <v>7.944136829812757E-4</v>
      </c>
      <c r="M140" s="761" t="s">
        <v>884</v>
      </c>
      <c r="N140" s="759">
        <v>1.2587900000000001</v>
      </c>
      <c r="O140" s="833">
        <f t="shared" si="11"/>
        <v>-1634.5311282433977</v>
      </c>
      <c r="P140" s="361"/>
    </row>
    <row r="141" spans="1:16">
      <c r="A141" s="14" t="s">
        <v>1064</v>
      </c>
      <c r="B141" s="14" t="s">
        <v>3</v>
      </c>
      <c r="C141" s="761" t="s">
        <v>53</v>
      </c>
      <c r="D141" s="439">
        <v>41466</v>
      </c>
      <c r="E141" s="14">
        <v>1</v>
      </c>
      <c r="F141" s="768">
        <v>0.9284</v>
      </c>
      <c r="G141" s="502"/>
      <c r="H141" s="543">
        <v>41467</v>
      </c>
      <c r="I141" s="763">
        <v>0.90280000000000005</v>
      </c>
      <c r="J141" s="832">
        <f>SUM(I141-F141)*10000</f>
        <v>-255.99999999999957</v>
      </c>
      <c r="K141" s="426">
        <f>SUM(100000/N141)/10000</f>
        <v>10</v>
      </c>
      <c r="L141" s="764">
        <f>SUM((I141-F141)/J141*K141)*E141</f>
        <v>1E-3</v>
      </c>
      <c r="M141" s="761" t="s">
        <v>884</v>
      </c>
      <c r="N141" s="759">
        <v>1</v>
      </c>
      <c r="O141" s="833">
        <f t="shared" si="11"/>
        <v>-2559.9999999999959</v>
      </c>
      <c r="P141" s="361"/>
    </row>
    <row r="142" spans="1:16">
      <c r="A142" s="456" t="s">
        <v>1173</v>
      </c>
      <c r="B142" s="456" t="s">
        <v>3</v>
      </c>
      <c r="C142" s="786" t="s">
        <v>78</v>
      </c>
      <c r="D142" s="787">
        <v>41465</v>
      </c>
      <c r="E142" s="456">
        <v>1</v>
      </c>
      <c r="F142" s="834">
        <v>103.13200000000001</v>
      </c>
      <c r="G142" s="789"/>
      <c r="H142" s="543">
        <v>41467</v>
      </c>
      <c r="I142" s="790">
        <v>105.17</v>
      </c>
      <c r="J142" s="832">
        <f>SUM(F142-I142)*10000</f>
        <v>-20379.999999999967</v>
      </c>
      <c r="K142" s="782">
        <f>SUM(100000/N142)/100</f>
        <v>10.107646434527719</v>
      </c>
      <c r="L142" s="791">
        <f>SUM((F142-I142)/J142*K142)*E142</f>
        <v>1.0107646434527719E-3</v>
      </c>
      <c r="M142" s="761" t="s">
        <v>884</v>
      </c>
      <c r="N142" s="677">
        <v>98.935000000000002</v>
      </c>
      <c r="O142" s="833">
        <f t="shared" si="11"/>
        <v>-2082.1128451576751</v>
      </c>
      <c r="P142" s="276"/>
    </row>
    <row r="143" spans="1:16">
      <c r="A143" s="456" t="s">
        <v>1151</v>
      </c>
      <c r="B143" s="456" t="s">
        <v>3</v>
      </c>
      <c r="C143" s="786" t="s">
        <v>78</v>
      </c>
      <c r="D143" s="787">
        <v>41464</v>
      </c>
      <c r="E143" s="456">
        <v>1</v>
      </c>
      <c r="F143" s="834">
        <v>1.6315</v>
      </c>
      <c r="G143" s="789"/>
      <c r="H143" s="543">
        <v>41467</v>
      </c>
      <c r="I143" s="790">
        <v>1.6677999999999999</v>
      </c>
      <c r="J143" s="832">
        <f>SUM(F143-I143)*10000</f>
        <v>-363</v>
      </c>
      <c r="K143" s="782">
        <f>SUM(100000/N143)/10000</f>
        <v>9.1857000000000006</v>
      </c>
      <c r="L143" s="791">
        <f>SUM((F143-I143)/J143*K143)*E143</f>
        <v>9.1856999999999996E-4</v>
      </c>
      <c r="M143" s="761" t="s">
        <v>884</v>
      </c>
      <c r="N143" s="677">
        <f>1/0.91857</f>
        <v>1.0886486604178234</v>
      </c>
      <c r="O143" s="833">
        <f t="shared" si="11"/>
        <v>-3062.8881669870002</v>
      </c>
      <c r="P143" s="276"/>
    </row>
    <row r="144" spans="1:16">
      <c r="A144" s="456" t="s">
        <v>1065</v>
      </c>
      <c r="B144" s="456" t="s">
        <v>3</v>
      </c>
      <c r="C144" s="786" t="s">
        <v>78</v>
      </c>
      <c r="D144" s="787">
        <v>41465</v>
      </c>
      <c r="E144" s="456">
        <v>1</v>
      </c>
      <c r="F144" s="834">
        <v>1.2728999999999999</v>
      </c>
      <c r="G144" s="789"/>
      <c r="H144" s="543">
        <v>41467</v>
      </c>
      <c r="I144" s="790">
        <v>1.2644</v>
      </c>
      <c r="J144" s="832">
        <f>SUM(F144-I144)*10000</f>
        <v>84.999999999999517</v>
      </c>
      <c r="K144" s="782">
        <f>SUM(100000/N144)/10000</f>
        <v>7.9088895919012971</v>
      </c>
      <c r="L144" s="791">
        <f>SUM((F144-I144)/J144*K144)*E144</f>
        <v>7.9088895919012978E-4</v>
      </c>
      <c r="M144" s="761" t="s">
        <v>884</v>
      </c>
      <c r="N144" s="677">
        <f>I144</f>
        <v>1.2644</v>
      </c>
      <c r="O144" s="833">
        <f t="shared" si="11"/>
        <v>531.67954390351667</v>
      </c>
      <c r="P144" s="276"/>
    </row>
    <row r="145" spans="1:16">
      <c r="A145" s="14" t="s">
        <v>1157</v>
      </c>
      <c r="B145" s="14" t="s">
        <v>3</v>
      </c>
      <c r="C145" s="761" t="s">
        <v>53</v>
      </c>
      <c r="D145" s="439">
        <v>41491</v>
      </c>
      <c r="E145" s="14">
        <v>1</v>
      </c>
      <c r="F145" s="768">
        <v>151.47</v>
      </c>
      <c r="G145" s="502"/>
      <c r="H145" s="543">
        <v>41493</v>
      </c>
      <c r="I145" s="763">
        <v>148.18</v>
      </c>
      <c r="J145" s="832">
        <f>SUM(I145-F145)*10000</f>
        <v>-32899.99999999992</v>
      </c>
      <c r="K145" s="426">
        <f>SUM(100000/N145)/100</f>
        <v>10.232481990831696</v>
      </c>
      <c r="L145" s="764">
        <v>0</v>
      </c>
      <c r="M145" s="761" t="s">
        <v>884</v>
      </c>
      <c r="N145" s="759">
        <v>97.727999999999994</v>
      </c>
      <c r="O145" s="833">
        <f t="shared" si="11"/>
        <v>-3444.7513250896568</v>
      </c>
      <c r="P145" s="361"/>
    </row>
    <row r="146" spans="1:16">
      <c r="A146" s="14" t="s">
        <v>1037</v>
      </c>
      <c r="B146" s="14" t="s">
        <v>3</v>
      </c>
      <c r="C146" s="761" t="s">
        <v>53</v>
      </c>
      <c r="D146" s="439">
        <v>41491</v>
      </c>
      <c r="E146" s="14">
        <v>1</v>
      </c>
      <c r="F146" s="768">
        <v>1.4232</v>
      </c>
      <c r="G146" s="502"/>
      <c r="H146" s="543">
        <v>41493</v>
      </c>
      <c r="I146" s="763">
        <v>1.4151</v>
      </c>
      <c r="J146" s="832">
        <f>SUM(I146-F146)*10000</f>
        <v>-80.999999999999957</v>
      </c>
      <c r="K146" s="426">
        <f>SUM(100000/N146)/10000</f>
        <v>10.803452783509611</v>
      </c>
      <c r="L146" s="764">
        <f>SUM((I146-F146)/J146*K146)*E146</f>
        <v>1.0803452783509611E-3</v>
      </c>
      <c r="M146" s="761" t="s">
        <v>884</v>
      </c>
      <c r="N146" s="759">
        <v>0.92562999999999995</v>
      </c>
      <c r="O146" s="833">
        <f t="shared" si="11"/>
        <v>-945.38819556872409</v>
      </c>
      <c r="P146" s="361"/>
    </row>
    <row r="147" spans="1:16">
      <c r="A147" s="14" t="s">
        <v>1152</v>
      </c>
      <c r="B147" s="14" t="s">
        <v>3</v>
      </c>
      <c r="C147" s="761" t="s">
        <v>53</v>
      </c>
      <c r="D147" s="439">
        <v>41493</v>
      </c>
      <c r="E147" s="14">
        <v>1</v>
      </c>
      <c r="F147" s="768">
        <v>1.5438000000000001</v>
      </c>
      <c r="G147" s="502"/>
      <c r="H147" s="543">
        <v>41498</v>
      </c>
      <c r="I147" s="763">
        <v>1.5466</v>
      </c>
      <c r="J147" s="832">
        <f>SUM(I147-F147)*10000</f>
        <v>27.999999999999137</v>
      </c>
      <c r="K147" s="426">
        <f>SUM(100000/N147)/10000</f>
        <v>10</v>
      </c>
      <c r="L147" s="764">
        <f>SUM((I147-F147)/J147*K147)*E147</f>
        <v>1E-3</v>
      </c>
      <c r="M147" s="761" t="s">
        <v>884</v>
      </c>
      <c r="N147" s="759">
        <v>1</v>
      </c>
      <c r="O147" s="833">
        <f t="shared" si="11"/>
        <v>279.99999999999136</v>
      </c>
      <c r="P147" s="361"/>
    </row>
    <row r="148" spans="1:16">
      <c r="A148" s="14" t="s">
        <v>1064</v>
      </c>
      <c r="B148" s="14" t="s">
        <v>3</v>
      </c>
      <c r="C148" s="761" t="s">
        <v>53</v>
      </c>
      <c r="D148" s="439">
        <v>41494</v>
      </c>
      <c r="E148" s="14">
        <v>1</v>
      </c>
      <c r="F148" s="768">
        <v>0.90280000000000005</v>
      </c>
      <c r="G148" s="502"/>
      <c r="H148" s="543">
        <v>41499</v>
      </c>
      <c r="I148" s="763">
        <v>0.91459999999999997</v>
      </c>
      <c r="J148" s="832">
        <f>SUM(I148-F148)*10000</f>
        <v>117.99999999999922</v>
      </c>
      <c r="K148" s="426">
        <f>SUM(100000/N148)/10000</f>
        <v>10</v>
      </c>
      <c r="L148" s="764">
        <f>SUM((I148-F148)/J148*K148)*E148</f>
        <v>1E-3</v>
      </c>
      <c r="M148" s="761" t="s">
        <v>884</v>
      </c>
      <c r="N148" s="759">
        <v>1</v>
      </c>
      <c r="O148" s="833">
        <f t="shared" si="11"/>
        <v>1179.9999999999923</v>
      </c>
      <c r="P148" s="361"/>
    </row>
    <row r="149" spans="1:16">
      <c r="A149" s="456" t="s">
        <v>1124</v>
      </c>
      <c r="B149" s="456" t="s">
        <v>3</v>
      </c>
      <c r="C149" s="786" t="s">
        <v>78</v>
      </c>
      <c r="D149" s="787">
        <v>41494</v>
      </c>
      <c r="E149" s="456">
        <v>1</v>
      </c>
      <c r="F149" s="834">
        <v>1.4732000000000001</v>
      </c>
      <c r="G149" s="789"/>
      <c r="H149" s="543">
        <v>41499</v>
      </c>
      <c r="I149" s="790">
        <v>1.4551000000000001</v>
      </c>
      <c r="J149" s="832">
        <f>SUM(F149-I149)*10000</f>
        <v>181.00000000000006</v>
      </c>
      <c r="K149" s="782">
        <f>SUM(100000/N149)/10000</f>
        <v>9.1464999999999979</v>
      </c>
      <c r="L149" s="791">
        <f>SUM((F149-I149)/J149*K149)*E149</f>
        <v>9.1464999999999971E-4</v>
      </c>
      <c r="M149" s="761" t="s">
        <v>884</v>
      </c>
      <c r="N149" s="677">
        <f>1/0.91465</f>
        <v>1.0933143825507026</v>
      </c>
      <c r="O149" s="833">
        <f t="shared" si="11"/>
        <v>1514.2181667249999</v>
      </c>
      <c r="P149" s="276"/>
    </row>
    <row r="150" spans="1:16">
      <c r="A150" s="456" t="s">
        <v>1282</v>
      </c>
      <c r="B150" s="456" t="s">
        <v>3</v>
      </c>
      <c r="C150" s="786" t="s">
        <v>78</v>
      </c>
      <c r="D150" s="787">
        <v>41466</v>
      </c>
      <c r="E150" s="456">
        <v>1</v>
      </c>
      <c r="F150" s="834">
        <v>98.694999999999993</v>
      </c>
      <c r="G150" s="789"/>
      <c r="H150" s="543">
        <v>41499</v>
      </c>
      <c r="I150" s="790">
        <v>96.89</v>
      </c>
      <c r="J150" s="832">
        <f>SUM(F150-I150)*10000</f>
        <v>18049.999999999927</v>
      </c>
      <c r="K150" s="782">
        <f>SUM(100000/N150)/100</f>
        <v>10.320982557539478</v>
      </c>
      <c r="L150" s="791">
        <f>SUM((F150-I150)/J150*K150)*E150</f>
        <v>1.0320982557539477E-3</v>
      </c>
      <c r="M150" s="761" t="s">
        <v>884</v>
      </c>
      <c r="N150" s="677">
        <f>I150</f>
        <v>96.89</v>
      </c>
      <c r="O150" s="833">
        <f t="shared" si="11"/>
        <v>1922.7343912022584</v>
      </c>
      <c r="P150" s="276"/>
    </row>
    <row r="151" spans="1:16">
      <c r="A151" s="14" t="s">
        <v>1148</v>
      </c>
      <c r="B151" s="14" t="s">
        <v>3</v>
      </c>
      <c r="C151" s="761" t="s">
        <v>53</v>
      </c>
      <c r="D151" s="439">
        <v>41494</v>
      </c>
      <c r="E151" s="14">
        <v>1</v>
      </c>
      <c r="F151" s="768">
        <v>0.94110000000000005</v>
      </c>
      <c r="G151" s="502"/>
      <c r="H151" s="543">
        <v>41502</v>
      </c>
      <c r="I151" s="763">
        <v>0.94194999999999995</v>
      </c>
      <c r="J151" s="832">
        <f>SUM(I151-F151)*10000</f>
        <v>8.4999999999990639</v>
      </c>
      <c r="K151" s="426">
        <f>SUM(100000/N151)/10000</f>
        <v>9.7052515115929232</v>
      </c>
      <c r="L151" s="764">
        <f>SUM((I151-F151)/J151*K151)*E151</f>
        <v>9.7052515115929241E-4</v>
      </c>
      <c r="M151" s="761" t="s">
        <v>884</v>
      </c>
      <c r="N151" s="763">
        <v>1.03037</v>
      </c>
      <c r="O151" s="833">
        <f t="shared" ref="O151:O158" si="13">SUM(J151*K151)/N151</f>
        <v>80.063120867776391</v>
      </c>
      <c r="P151" s="361"/>
    </row>
    <row r="152" spans="1:16">
      <c r="A152" s="14" t="s">
        <v>1162</v>
      </c>
      <c r="B152" s="14" t="s">
        <v>3</v>
      </c>
      <c r="C152" s="761" t="s">
        <v>53</v>
      </c>
      <c r="D152" s="439">
        <v>41498</v>
      </c>
      <c r="E152" s="14">
        <v>1</v>
      </c>
      <c r="F152" s="768">
        <v>89.01</v>
      </c>
      <c r="G152" s="502"/>
      <c r="H152" s="543">
        <v>41502</v>
      </c>
      <c r="I152" s="763">
        <v>88.98</v>
      </c>
      <c r="J152" s="832">
        <f>SUM(I152-F152)*10000</f>
        <v>-300.00000000001137</v>
      </c>
      <c r="K152" s="426">
        <f>SUM(100000/N152)/100</f>
        <v>10.272319181501608</v>
      </c>
      <c r="L152" s="764">
        <f>SUM((I152-F152)/J152*K152)*E152</f>
        <v>1.0272319181501609E-3</v>
      </c>
      <c r="M152" s="761" t="s">
        <v>884</v>
      </c>
      <c r="N152" s="759">
        <v>97.349000000000004</v>
      </c>
      <c r="O152" s="833">
        <f t="shared" si="13"/>
        <v>-31.656162409994955</v>
      </c>
      <c r="P152" s="361"/>
    </row>
    <row r="153" spans="1:16">
      <c r="A153" s="14" t="s">
        <v>1065</v>
      </c>
      <c r="B153" s="14" t="s">
        <v>3</v>
      </c>
      <c r="C153" s="761" t="s">
        <v>53</v>
      </c>
      <c r="D153" s="439">
        <v>41501</v>
      </c>
      <c r="E153" s="14">
        <v>1</v>
      </c>
      <c r="F153" s="768">
        <v>1.2645</v>
      </c>
      <c r="G153" s="502"/>
      <c r="H153" s="543">
        <v>41502</v>
      </c>
      <c r="I153" s="763">
        <v>1.26851</v>
      </c>
      <c r="J153" s="832">
        <f>SUM(I153-F153)*10000</f>
        <v>40.100000000000691</v>
      </c>
      <c r="K153" s="426">
        <f>SUM(100000/N153)/10000</f>
        <v>7.8832646175434169</v>
      </c>
      <c r="L153" s="764">
        <f>SUM((I153-F153)/J153*K153)*E153</f>
        <v>7.8832646175434169E-4</v>
      </c>
      <c r="M153" s="761" t="s">
        <v>884</v>
      </c>
      <c r="N153" s="759">
        <f>I153</f>
        <v>1.26851</v>
      </c>
      <c r="O153" s="833">
        <f t="shared" si="13"/>
        <v>249.20490273115425</v>
      </c>
      <c r="P153" s="361"/>
    </row>
    <row r="154" spans="1:16">
      <c r="A154" s="456" t="s">
        <v>1064</v>
      </c>
      <c r="B154" s="456" t="s">
        <v>3</v>
      </c>
      <c r="C154" s="786" t="s">
        <v>78</v>
      </c>
      <c r="D154" s="787">
        <v>41501</v>
      </c>
      <c r="E154" s="456">
        <v>1</v>
      </c>
      <c r="F154" s="834">
        <v>0.90769999999999995</v>
      </c>
      <c r="G154" s="789"/>
      <c r="H154" s="543">
        <v>41505</v>
      </c>
      <c r="I154" s="790">
        <v>0.92200000000000004</v>
      </c>
      <c r="J154" s="832">
        <f>SUM(F154-I154)*10000</f>
        <v>-143.00000000000091</v>
      </c>
      <c r="K154" s="782">
        <f>SUM(100000/N154)/10000</f>
        <v>10</v>
      </c>
      <c r="L154" s="791">
        <f>SUM((F154-I154)/J154*K154)*E154</f>
        <v>1E-3</v>
      </c>
      <c r="M154" s="761" t="s">
        <v>884</v>
      </c>
      <c r="N154" s="790">
        <v>1</v>
      </c>
      <c r="O154" s="833">
        <f t="shared" si="13"/>
        <v>-1430.0000000000091</v>
      </c>
      <c r="P154" s="276"/>
    </row>
    <row r="155" spans="1:16">
      <c r="A155" s="14" t="s">
        <v>1157</v>
      </c>
      <c r="B155" s="14" t="s">
        <v>3</v>
      </c>
      <c r="C155" s="761" t="s">
        <v>53</v>
      </c>
      <c r="D155" s="439">
        <v>41499</v>
      </c>
      <c r="E155" s="14">
        <v>1</v>
      </c>
      <c r="F155" s="768">
        <v>151.47</v>
      </c>
      <c r="G155" s="502"/>
      <c r="H155" s="543">
        <v>41506</v>
      </c>
      <c r="I155" s="763">
        <v>152.12</v>
      </c>
      <c r="J155" s="832">
        <f>SUM(I155-F155)*10000</f>
        <v>6500.0000000000564</v>
      </c>
      <c r="K155" s="426">
        <f>SUM(100000/N155)/100</f>
        <v>10.252204223908141</v>
      </c>
      <c r="L155" s="764">
        <f>SUM((I155-F155)/J155*K155)*E155</f>
        <v>1.025220422390814E-3</v>
      </c>
      <c r="M155" s="761" t="s">
        <v>884</v>
      </c>
      <c r="N155" s="759">
        <v>97.54</v>
      </c>
      <c r="O155" s="833">
        <f t="shared" si="13"/>
        <v>683.19999441668529</v>
      </c>
      <c r="P155" s="361"/>
    </row>
    <row r="156" spans="1:16">
      <c r="A156" s="14" t="s">
        <v>1179</v>
      </c>
      <c r="B156" s="14" t="s">
        <v>3</v>
      </c>
      <c r="C156" s="761" t="s">
        <v>53</v>
      </c>
      <c r="D156" s="439">
        <v>41502</v>
      </c>
      <c r="E156" s="14">
        <v>1</v>
      </c>
      <c r="F156" s="768">
        <v>0.81100000000000005</v>
      </c>
      <c r="G156" s="502"/>
      <c r="H156" s="543">
        <v>41506</v>
      </c>
      <c r="I156" s="763">
        <v>0.80210000000000004</v>
      </c>
      <c r="J156" s="832">
        <f>SUM(I156-F156)*10000</f>
        <v>-89.000000000000185</v>
      </c>
      <c r="K156" s="426">
        <f>SUM(100000/N156)/10000</f>
        <v>10</v>
      </c>
      <c r="L156" s="764">
        <f>SUM((I156-F156)/J156*K156)*E156</f>
        <v>1E-3</v>
      </c>
      <c r="M156" s="761" t="s">
        <v>884</v>
      </c>
      <c r="N156" s="759">
        <v>1</v>
      </c>
      <c r="O156" s="833">
        <f t="shared" si="13"/>
        <v>-890.00000000000182</v>
      </c>
      <c r="P156" s="361"/>
    </row>
    <row r="157" spans="1:16">
      <c r="A157" s="456" t="s">
        <v>1037</v>
      </c>
      <c r="B157" s="456" t="s">
        <v>3</v>
      </c>
      <c r="C157" s="786" t="s">
        <v>78</v>
      </c>
      <c r="D157" s="787">
        <v>41502</v>
      </c>
      <c r="E157" s="456">
        <v>1</v>
      </c>
      <c r="F157" s="834">
        <v>1.4450000000000001</v>
      </c>
      <c r="G157" s="789"/>
      <c r="H157" s="543">
        <v>41507</v>
      </c>
      <c r="I157" s="790">
        <v>1.4467000000000001</v>
      </c>
      <c r="J157" s="832">
        <f>SUM(F157-I157)*10000</f>
        <v>-17.000000000000348</v>
      </c>
      <c r="K157" s="782">
        <f>SUM(100000/N157)/10000</f>
        <v>10.903341874284468</v>
      </c>
      <c r="L157" s="791">
        <f>SUM((F157-I157)/J157*K157)*E157</f>
        <v>1.0903341874284468E-3</v>
      </c>
      <c r="M157" s="761" t="s">
        <v>884</v>
      </c>
      <c r="N157" s="677">
        <v>0.91715000000000002</v>
      </c>
      <c r="O157" s="833">
        <f t="shared" si="13"/>
        <v>-202.10086884679686</v>
      </c>
      <c r="P157" s="276"/>
    </row>
    <row r="158" spans="1:16">
      <c r="A158" s="456" t="s">
        <v>1155</v>
      </c>
      <c r="B158" s="456" t="s">
        <v>3</v>
      </c>
      <c r="C158" s="786" t="s">
        <v>78</v>
      </c>
      <c r="D158" s="787">
        <v>41502</v>
      </c>
      <c r="E158" s="456">
        <v>1</v>
      </c>
      <c r="F158" s="834">
        <v>0.89649999999999996</v>
      </c>
      <c r="G158" s="789"/>
      <c r="H158" s="543">
        <v>41508</v>
      </c>
      <c r="I158" s="790">
        <v>0.88190000000000002</v>
      </c>
      <c r="J158" s="832">
        <f>SUM(F158-I158)*10000</f>
        <v>145.99999999999946</v>
      </c>
      <c r="K158" s="782">
        <f>SUM(100000/N158)/10000</f>
        <v>10.844693149407338</v>
      </c>
      <c r="L158" s="791">
        <f>SUM((F158-I158)/J158*K158)*E158</f>
        <v>1.0844693149407339E-3</v>
      </c>
      <c r="M158" s="761" t="s">
        <v>884</v>
      </c>
      <c r="N158" s="677">
        <v>0.92210999999999999</v>
      </c>
      <c r="O158" s="833">
        <f t="shared" si="13"/>
        <v>1717.0675947701093</v>
      </c>
      <c r="P158" s="276"/>
    </row>
    <row r="159" spans="1:16" ht="15" customHeight="1">
      <c r="A159" s="14" t="s">
        <v>1147</v>
      </c>
      <c r="B159" s="14" t="s">
        <v>3</v>
      </c>
      <c r="C159" s="761" t="s">
        <v>53</v>
      </c>
      <c r="D159" s="439">
        <v>41513</v>
      </c>
      <c r="E159" s="14">
        <v>1</v>
      </c>
      <c r="F159" s="768">
        <v>77.63</v>
      </c>
      <c r="G159" s="502"/>
      <c r="H159" s="543">
        <v>41513</v>
      </c>
      <c r="I159" s="763">
        <v>76.34</v>
      </c>
      <c r="J159" s="832">
        <f>SUM(I159-F159)*10000</f>
        <v>-12899.99999999992</v>
      </c>
      <c r="K159" s="426">
        <f>SUM(100000/N159)/100</f>
        <v>10.152181196129987</v>
      </c>
      <c r="L159" s="764">
        <f>SUM((I159-F159)/J159*K159)*E159</f>
        <v>1.0152181196129988E-3</v>
      </c>
      <c r="M159" s="761" t="s">
        <v>884</v>
      </c>
      <c r="N159" s="759">
        <v>98.501000000000005</v>
      </c>
      <c r="O159" s="833">
        <f t="shared" ref="O159:O166" si="14">SUM(J159*K159)/N159</f>
        <v>-1329.5615012038052</v>
      </c>
      <c r="P159" s="361"/>
    </row>
    <row r="160" spans="1:16">
      <c r="A160" s="14" t="s">
        <v>1154</v>
      </c>
      <c r="B160" s="14" t="s">
        <v>3</v>
      </c>
      <c r="C160" s="761" t="s">
        <v>53</v>
      </c>
      <c r="D160" s="439">
        <v>41508</v>
      </c>
      <c r="E160" s="14">
        <v>1</v>
      </c>
      <c r="F160" s="768">
        <v>1.1477999999999999</v>
      </c>
      <c r="G160" s="502"/>
      <c r="H160" s="543">
        <v>41520</v>
      </c>
      <c r="I160" s="763">
        <v>1.1597</v>
      </c>
      <c r="J160" s="832">
        <f>SUM(I160-F160)*10000</f>
        <v>119.00000000000021</v>
      </c>
      <c r="K160" s="426">
        <f>SUM(100000/N160)/10000</f>
        <v>7.8437000000000001</v>
      </c>
      <c r="L160" s="764">
        <f>SUM((I160-F160)/J160*K160)*E160</f>
        <v>7.8437000000000005E-4</v>
      </c>
      <c r="M160" s="761" t="s">
        <v>884</v>
      </c>
      <c r="N160" s="768">
        <f>1/0.78437</f>
        <v>1.2749085253133088</v>
      </c>
      <c r="O160" s="833">
        <f t="shared" si="14"/>
        <v>732.13119331100131</v>
      </c>
      <c r="P160" s="361"/>
    </row>
    <row r="161" spans="1:16" ht="15" customHeight="1">
      <c r="A161" s="14" t="s">
        <v>1155</v>
      </c>
      <c r="B161" s="14" t="s">
        <v>3</v>
      </c>
      <c r="C161" s="761" t="s">
        <v>53</v>
      </c>
      <c r="D161" s="439">
        <v>41512</v>
      </c>
      <c r="E161" s="14">
        <v>1</v>
      </c>
      <c r="F161" s="768">
        <v>0.87909999999999999</v>
      </c>
      <c r="G161" s="502"/>
      <c r="H161" s="543">
        <v>41513</v>
      </c>
      <c r="I161" s="763">
        <v>0.873</v>
      </c>
      <c r="J161" s="832">
        <f>SUM(I161-F161)*10000</f>
        <v>-60.999999999999943</v>
      </c>
      <c r="K161" s="426">
        <f>SUM(100000/N161)/10000</f>
        <v>10.836701741457968</v>
      </c>
      <c r="L161" s="764">
        <f>SUM((I161-F161)/J161*K161)*E161</f>
        <v>1.0836701741457969E-3</v>
      </c>
      <c r="M161" s="761" t="s">
        <v>884</v>
      </c>
      <c r="N161" s="759">
        <v>0.92279</v>
      </c>
      <c r="O161" s="833">
        <f t="shared" si="14"/>
        <v>-716.34803826324014</v>
      </c>
      <c r="P161" s="361"/>
    </row>
    <row r="162" spans="1:16" ht="15" customHeight="1">
      <c r="A162" s="456" t="s">
        <v>1157</v>
      </c>
      <c r="B162" s="456" t="s">
        <v>3</v>
      </c>
      <c r="C162" s="786" t="s">
        <v>78</v>
      </c>
      <c r="D162" s="787">
        <v>41512</v>
      </c>
      <c r="E162" s="456">
        <v>1</v>
      </c>
      <c r="F162" s="834">
        <v>153.41800000000001</v>
      </c>
      <c r="G162" s="789"/>
      <c r="H162" s="543">
        <v>41513</v>
      </c>
      <c r="I162" s="790">
        <v>151.54599999999999</v>
      </c>
      <c r="J162" s="832">
        <f>SUM(F162-I162)*10000</f>
        <v>18720.000000000142</v>
      </c>
      <c r="K162" s="782">
        <f>SUM(100000/N162)/100</f>
        <v>10.152181196129987</v>
      </c>
      <c r="L162" s="791">
        <f>SUM((F162-I162)/J162*K162)*E162</f>
        <v>1.0152181196129986E-3</v>
      </c>
      <c r="M162" s="786" t="s">
        <v>884</v>
      </c>
      <c r="N162" s="677">
        <v>98.501000000000005</v>
      </c>
      <c r="O162" s="833">
        <f t="shared" si="14"/>
        <v>1929.4101784911302</v>
      </c>
      <c r="P162" s="276"/>
    </row>
    <row r="163" spans="1:16" ht="15" customHeight="1">
      <c r="A163" s="14" t="s">
        <v>1035</v>
      </c>
      <c r="B163" s="14" t="s">
        <v>3</v>
      </c>
      <c r="C163" s="761" t="s">
        <v>53</v>
      </c>
      <c r="D163" s="439">
        <v>41509</v>
      </c>
      <c r="E163" s="14">
        <v>1</v>
      </c>
      <c r="F163" s="768">
        <v>0.85850000000000004</v>
      </c>
      <c r="G163" s="502"/>
      <c r="H163" s="543">
        <v>41514</v>
      </c>
      <c r="I163" s="763">
        <v>0.86350000000000005</v>
      </c>
      <c r="J163" s="832">
        <f>SUM(I163-F163)*10000</f>
        <v>50.000000000000043</v>
      </c>
      <c r="K163" s="426">
        <f>SUM(100000/N163)/10000</f>
        <v>15.545</v>
      </c>
      <c r="L163" s="764">
        <f>SUM((I163-F163)/J163*K163)*E163</f>
        <v>1.5545000000000001E-3</v>
      </c>
      <c r="M163" s="761" t="s">
        <v>884</v>
      </c>
      <c r="N163" s="759">
        <f>1/1.5545</f>
        <v>0.64329366355741391</v>
      </c>
      <c r="O163" s="833">
        <f t="shared" si="14"/>
        <v>1208.2351250000011</v>
      </c>
      <c r="P163" s="361"/>
    </row>
    <row r="164" spans="1:16" ht="15" customHeight="1">
      <c r="A164" s="456" t="s">
        <v>1180</v>
      </c>
      <c r="B164" s="456" t="s">
        <v>3</v>
      </c>
      <c r="C164" s="786" t="s">
        <v>78</v>
      </c>
      <c r="D164" s="787">
        <v>41513</v>
      </c>
      <c r="E164" s="456">
        <v>1</v>
      </c>
      <c r="F164" s="834">
        <v>1.6326000000000001</v>
      </c>
      <c r="G164" s="789"/>
      <c r="H164" s="543">
        <v>41515</v>
      </c>
      <c r="I164" s="790">
        <v>1.62798</v>
      </c>
      <c r="J164" s="832">
        <f>SUM(F164-I164)*10000</f>
        <v>46.200000000000685</v>
      </c>
      <c r="K164" s="782">
        <f>SUM(100000/N164)/10000</f>
        <v>9.5367977340568579</v>
      </c>
      <c r="L164" s="791">
        <f>SUM((F164-I164)/J164*K164)*E164</f>
        <v>9.5367977340568588E-4</v>
      </c>
      <c r="M164" s="786" t="s">
        <v>884</v>
      </c>
      <c r="N164" s="677">
        <v>1.04857</v>
      </c>
      <c r="O164" s="833">
        <f t="shared" si="14"/>
        <v>420.19136091384775</v>
      </c>
      <c r="P164" s="276"/>
    </row>
    <row r="165" spans="1:16" ht="15" customHeight="1">
      <c r="A165" s="456" t="s">
        <v>1146</v>
      </c>
      <c r="B165" s="456" t="s">
        <v>3</v>
      </c>
      <c r="C165" s="786" t="s">
        <v>78</v>
      </c>
      <c r="D165" s="787">
        <v>41513</v>
      </c>
      <c r="E165" s="456">
        <v>1</v>
      </c>
      <c r="F165" s="834">
        <v>1.4034</v>
      </c>
      <c r="G165" s="789"/>
      <c r="H165" s="543">
        <v>41516</v>
      </c>
      <c r="I165" s="790">
        <v>1.3946400000000001</v>
      </c>
      <c r="J165" s="832">
        <f>SUM(F165-I165)*10000</f>
        <v>87.599999999998786</v>
      </c>
      <c r="K165" s="782">
        <f>SUM(100000/N165)/10000</f>
        <v>9.4949629221697869</v>
      </c>
      <c r="L165" s="791">
        <f>SUM((F165-I165)/J165*K165)*E165</f>
        <v>9.4949629221697878E-4</v>
      </c>
      <c r="M165" s="786" t="s">
        <v>884</v>
      </c>
      <c r="N165" s="677">
        <v>1.0531900000000001</v>
      </c>
      <c r="O165" s="833">
        <f t="shared" si="14"/>
        <v>789.75185102598937</v>
      </c>
      <c r="P165" s="276"/>
    </row>
    <row r="166" spans="1:16" ht="15" customHeight="1">
      <c r="A166" s="456" t="s">
        <v>1036</v>
      </c>
      <c r="B166" s="456" t="s">
        <v>3</v>
      </c>
      <c r="C166" s="786" t="s">
        <v>78</v>
      </c>
      <c r="D166" s="787">
        <v>41513</v>
      </c>
      <c r="E166" s="456">
        <v>1</v>
      </c>
      <c r="F166" s="834">
        <v>1.0487</v>
      </c>
      <c r="G166" s="789"/>
      <c r="H166" s="543">
        <v>41516</v>
      </c>
      <c r="I166" s="790">
        <v>1.0545</v>
      </c>
      <c r="J166" s="832">
        <f>SUM(F166-I166)*10000</f>
        <v>-58.00000000000027</v>
      </c>
      <c r="K166" s="782">
        <f>SUM(100000/N166)/10000</f>
        <v>9.4831673779042198</v>
      </c>
      <c r="L166" s="791">
        <f>SUM((F166-I166)/J166*K166)*E166</f>
        <v>9.4831673779042201E-4</v>
      </c>
      <c r="M166" s="786" t="s">
        <v>884</v>
      </c>
      <c r="N166" s="834">
        <v>1.0545</v>
      </c>
      <c r="O166" s="833">
        <f t="shared" si="14"/>
        <v>-521.59668840061386</v>
      </c>
      <c r="P166" s="276"/>
    </row>
    <row r="167" spans="1:16" ht="15" customHeight="1">
      <c r="A167" s="456" t="s">
        <v>1124</v>
      </c>
      <c r="B167" s="456" t="s">
        <v>3</v>
      </c>
      <c r="C167" s="786" t="s">
        <v>78</v>
      </c>
      <c r="D167" s="787">
        <v>41519</v>
      </c>
      <c r="E167" s="456">
        <v>1</v>
      </c>
      <c r="F167" s="834">
        <v>1.4771000000000001</v>
      </c>
      <c r="G167" s="789"/>
      <c r="H167" s="543">
        <v>41520</v>
      </c>
      <c r="I167" s="790">
        <v>1.4670000000000001</v>
      </c>
      <c r="J167" s="832">
        <f>SUM(F167-I167)*10000</f>
        <v>100.99999999999997</v>
      </c>
      <c r="K167" s="782">
        <f>SUM(100000/N167)/10000</f>
        <v>8.9429000000000016</v>
      </c>
      <c r="L167" s="791">
        <f>SUM((F167-I167)/J167*K167)*E167</f>
        <v>8.9429000000000017E-4</v>
      </c>
      <c r="M167" s="786" t="s">
        <v>884</v>
      </c>
      <c r="N167" s="677">
        <f>1/0.89429</f>
        <v>1.1182055038074896</v>
      </c>
      <c r="O167" s="833">
        <f t="shared" ref="O167:O173" si="15">SUM(J167*K167)/N167</f>
        <v>807.75215014100002</v>
      </c>
      <c r="P167" s="276"/>
    </row>
    <row r="168" spans="1:16" ht="15" customHeight="1">
      <c r="A168" s="14" t="s">
        <v>1162</v>
      </c>
      <c r="B168" s="14" t="s">
        <v>3</v>
      </c>
      <c r="C168" s="761" t="s">
        <v>53</v>
      </c>
      <c r="D168" s="439">
        <v>41519</v>
      </c>
      <c r="E168" s="14">
        <v>1</v>
      </c>
      <c r="F168" s="768">
        <v>88.037999999999997</v>
      </c>
      <c r="G168" s="502"/>
      <c r="H168" s="543">
        <v>41520</v>
      </c>
      <c r="I168" s="763">
        <v>89.03</v>
      </c>
      <c r="J168" s="832">
        <f>SUM(I168-F168)*10000</f>
        <v>9920.0000000000437</v>
      </c>
      <c r="K168" s="426">
        <f>SUM(100000/N168)/100</f>
        <v>10.068364192869586</v>
      </c>
      <c r="L168" s="764">
        <f>SUM((I168-F168)/J168*K168)*E168</f>
        <v>1.0068364192869586E-3</v>
      </c>
      <c r="M168" s="761" t="s">
        <v>884</v>
      </c>
      <c r="N168" s="759">
        <v>99.320999999999998</v>
      </c>
      <c r="O168" s="833">
        <f t="shared" si="15"/>
        <v>1005.6098186009679</v>
      </c>
      <c r="P168" s="361"/>
    </row>
    <row r="169" spans="1:16" ht="15" customHeight="1">
      <c r="A169" s="14" t="s">
        <v>1150</v>
      </c>
      <c r="B169" s="14" t="s">
        <v>3</v>
      </c>
      <c r="C169" s="761" t="s">
        <v>53</v>
      </c>
      <c r="D169" s="439">
        <v>41519</v>
      </c>
      <c r="E169" s="14">
        <v>1</v>
      </c>
      <c r="F169" s="768">
        <v>0.83509999999999995</v>
      </c>
      <c r="G169" s="502"/>
      <c r="H169" s="543">
        <v>41521</v>
      </c>
      <c r="I169" s="763">
        <v>0.84509999999999996</v>
      </c>
      <c r="J169" s="832">
        <f>SUM(I169-F169)*10000</f>
        <v>100.00000000000009</v>
      </c>
      <c r="K169" s="426">
        <f t="shared" ref="K169:K180" si="16">SUM(100000/N169)/10000</f>
        <v>10.679539071093691</v>
      </c>
      <c r="L169" s="764">
        <f>SUM((I169-F169)/J169*K169)*E169</f>
        <v>1.0679539071093691E-3</v>
      </c>
      <c r="M169" s="761" t="s">
        <v>884</v>
      </c>
      <c r="N169" s="759">
        <v>0.93637000000000004</v>
      </c>
      <c r="O169" s="833">
        <f t="shared" si="15"/>
        <v>1140.525547710168</v>
      </c>
      <c r="P169" s="361"/>
    </row>
    <row r="170" spans="1:16" ht="15" customHeight="1">
      <c r="A170" s="456" t="s">
        <v>1065</v>
      </c>
      <c r="B170" s="456" t="s">
        <v>3</v>
      </c>
      <c r="C170" s="786" t="s">
        <v>78</v>
      </c>
      <c r="D170" s="787">
        <v>41514</v>
      </c>
      <c r="E170" s="456">
        <v>1</v>
      </c>
      <c r="F170" s="834">
        <v>1.2775000000000001</v>
      </c>
      <c r="G170" s="789"/>
      <c r="H170" s="543">
        <v>41522</v>
      </c>
      <c r="I170" s="790">
        <v>1.2796000000000001</v>
      </c>
      <c r="J170" s="832">
        <f>SUM(F170-I170)*10000</f>
        <v>-20.999999999999908</v>
      </c>
      <c r="K170" s="782">
        <f t="shared" si="16"/>
        <v>7.8149421694279457</v>
      </c>
      <c r="L170" s="791">
        <f>SUM((F170-I170)/J170*K170)*E170</f>
        <v>7.8149421694279466E-4</v>
      </c>
      <c r="M170" s="786" t="s">
        <v>884</v>
      </c>
      <c r="N170" s="790">
        <v>1.2796000000000001</v>
      </c>
      <c r="O170" s="833">
        <f t="shared" si="15"/>
        <v>-128.25397433415608</v>
      </c>
      <c r="P170" s="276"/>
    </row>
    <row r="171" spans="1:16" ht="15" customHeight="1">
      <c r="A171" s="456" t="s">
        <v>1151</v>
      </c>
      <c r="B171" s="456" t="s">
        <v>3</v>
      </c>
      <c r="C171" s="786" t="s">
        <v>78</v>
      </c>
      <c r="D171" s="787">
        <v>41512</v>
      </c>
      <c r="E171" s="456">
        <v>1</v>
      </c>
      <c r="F171" s="834">
        <v>1.7219</v>
      </c>
      <c r="G171" s="789"/>
      <c r="H171" s="543">
        <v>41527</v>
      </c>
      <c r="I171" s="790">
        <v>1.6955</v>
      </c>
      <c r="J171" s="832">
        <f>SUM(F171-I171)*10000</f>
        <v>263.99999999999977</v>
      </c>
      <c r="K171" s="782">
        <f t="shared" si="16"/>
        <v>9.2263999999999999</v>
      </c>
      <c r="L171" s="791">
        <f>SUM((F171-I171)/J171*K171)*E171</f>
        <v>9.2264000000000007E-4</v>
      </c>
      <c r="M171" s="786" t="s">
        <v>884</v>
      </c>
      <c r="N171" s="677">
        <f>1/0.92264</f>
        <v>1.0838463539408654</v>
      </c>
      <c r="O171" s="833">
        <f t="shared" si="15"/>
        <v>2247.3384637439981</v>
      </c>
      <c r="P171" s="276"/>
    </row>
    <row r="172" spans="1:16" ht="15" customHeight="1">
      <c r="A172" s="456" t="s">
        <v>1155</v>
      </c>
      <c r="B172" s="456" t="s">
        <v>3</v>
      </c>
      <c r="C172" s="786" t="s">
        <v>78</v>
      </c>
      <c r="D172" s="787">
        <v>41526</v>
      </c>
      <c r="E172" s="456">
        <v>1</v>
      </c>
      <c r="F172" s="834">
        <v>0.89810000000000001</v>
      </c>
      <c r="G172" s="789"/>
      <c r="H172" s="543">
        <v>41527</v>
      </c>
      <c r="I172" s="790">
        <v>0.90459999999999996</v>
      </c>
      <c r="J172" s="832">
        <f>SUM(F172-I172)*10000</f>
        <v>-64.999999999999503</v>
      </c>
      <c r="K172" s="782">
        <f t="shared" si="16"/>
        <v>10.729038141730594</v>
      </c>
      <c r="L172" s="791">
        <f>SUM((F172-I172)/J172*K172)*E172</f>
        <v>1.0729038141730595E-3</v>
      </c>
      <c r="M172" s="786" t="s">
        <v>884</v>
      </c>
      <c r="N172" s="677">
        <f>0.93205</f>
        <v>0.93205000000000005</v>
      </c>
      <c r="O172" s="833">
        <f t="shared" si="15"/>
        <v>-748.22968640360841</v>
      </c>
      <c r="P172" s="276"/>
    </row>
    <row r="173" spans="1:16" ht="15" customHeight="1">
      <c r="A173" s="14" t="s">
        <v>1035</v>
      </c>
      <c r="B173" s="14" t="s">
        <v>3</v>
      </c>
      <c r="C173" s="761" t="s">
        <v>53</v>
      </c>
      <c r="D173" s="439">
        <v>41526</v>
      </c>
      <c r="E173" s="14">
        <v>1</v>
      </c>
      <c r="F173" s="768">
        <v>0.84419999999999995</v>
      </c>
      <c r="G173" s="502"/>
      <c r="H173" s="543">
        <v>41528</v>
      </c>
      <c r="I173" s="763">
        <v>0.84040000000000004</v>
      </c>
      <c r="J173" s="832">
        <f>SUM(I173-F173)*10000</f>
        <v>-37.999999999999147</v>
      </c>
      <c r="K173" s="426">
        <f t="shared" si="16"/>
        <v>15.731</v>
      </c>
      <c r="L173" s="764">
        <f>SUM((I173-F173)/J173*K173)*E173</f>
        <v>1.5730999999999998E-3</v>
      </c>
      <c r="M173" s="761" t="s">
        <v>884</v>
      </c>
      <c r="N173" s="759">
        <f>1/1.5731</f>
        <v>0.63568749602695318</v>
      </c>
      <c r="O173" s="833">
        <f t="shared" si="15"/>
        <v>-940.36457179997888</v>
      </c>
      <c r="P173" s="361"/>
    </row>
    <row r="174" spans="1:16" ht="15" customHeight="1">
      <c r="A174" s="456" t="s">
        <v>1153</v>
      </c>
      <c r="B174" s="456" t="s">
        <v>3</v>
      </c>
      <c r="C174" s="786" t="s">
        <v>78</v>
      </c>
      <c r="D174" s="787">
        <v>41526</v>
      </c>
      <c r="E174" s="456">
        <v>1</v>
      </c>
      <c r="F174" s="834">
        <v>0.93400000000000005</v>
      </c>
      <c r="G174" s="789"/>
      <c r="H174" s="874">
        <v>41533</v>
      </c>
      <c r="I174" s="790">
        <v>0.92710000000000004</v>
      </c>
      <c r="J174" s="832">
        <f>SUM(F174-I174)*10000</f>
        <v>69.000000000000171</v>
      </c>
      <c r="K174" s="782">
        <f t="shared" si="16"/>
        <v>10.706638115631691</v>
      </c>
      <c r="L174" s="791">
        <f>SUM((F174-I174)/J174*K174)*E174</f>
        <v>1.0706638115631692E-3</v>
      </c>
      <c r="M174" s="786" t="s">
        <v>884</v>
      </c>
      <c r="N174" s="677">
        <f>0.934</f>
        <v>0.93400000000000005</v>
      </c>
      <c r="O174" s="833">
        <f t="shared" ref="O174:O182" si="17">SUM(J174*K174)/N174</f>
        <v>790.9614881997735</v>
      </c>
      <c r="P174" s="276"/>
    </row>
    <row r="175" spans="1:16" ht="15" customHeight="1">
      <c r="A175" s="456" t="s">
        <v>1150</v>
      </c>
      <c r="B175" s="456" t="s">
        <v>3</v>
      </c>
      <c r="C175" s="786" t="s">
        <v>78</v>
      </c>
      <c r="D175" s="787">
        <v>41537</v>
      </c>
      <c r="E175" s="456">
        <v>1</v>
      </c>
      <c r="F175" s="834">
        <v>0.85770000000000002</v>
      </c>
      <c r="G175" s="789"/>
      <c r="H175" s="543">
        <v>41544</v>
      </c>
      <c r="I175" s="790">
        <v>0.84379999999999999</v>
      </c>
      <c r="J175" s="832">
        <f>SUM(F175-I175)*10000</f>
        <v>139.00000000000023</v>
      </c>
      <c r="K175" s="782">
        <f t="shared" si="16"/>
        <v>11.659088259298123</v>
      </c>
      <c r="L175" s="791">
        <f>SUM((F175-I175)/J175*K175)*E175</f>
        <v>1.1659088259298124E-3</v>
      </c>
      <c r="M175" s="786" t="s">
        <v>884</v>
      </c>
      <c r="N175" s="677">
        <v>0.85770000000000002</v>
      </c>
      <c r="O175" s="833">
        <f t="shared" si="17"/>
        <v>1889.4873126296395</v>
      </c>
      <c r="P175" s="276"/>
    </row>
    <row r="176" spans="1:16" ht="15" customHeight="1">
      <c r="A176" s="456" t="s">
        <v>1152</v>
      </c>
      <c r="B176" s="456" t="s">
        <v>3</v>
      </c>
      <c r="C176" s="786" t="s">
        <v>78</v>
      </c>
      <c r="D176" s="787">
        <v>41548</v>
      </c>
      <c r="E176" s="456">
        <v>1</v>
      </c>
      <c r="F176" s="834">
        <v>1.6167</v>
      </c>
      <c r="G176" s="789"/>
      <c r="H176" s="543">
        <v>41556</v>
      </c>
      <c r="I176" s="790">
        <v>1.5998000000000001</v>
      </c>
      <c r="J176" s="832">
        <f>SUM(F176-I176)*10000</f>
        <v>168.99999999999915</v>
      </c>
      <c r="K176" s="782">
        <f t="shared" si="16"/>
        <v>6.1751265900950969</v>
      </c>
      <c r="L176" s="791">
        <f>SUM((F176-I176)/J176*K176)*E176</f>
        <v>6.1751265900950969E-4</v>
      </c>
      <c r="M176" s="786" t="s">
        <v>884</v>
      </c>
      <c r="N176" s="677">
        <v>1.6194</v>
      </c>
      <c r="O176" s="833">
        <f t="shared" si="17"/>
        <v>644.4339840225183</v>
      </c>
      <c r="P176" s="276"/>
    </row>
    <row r="177" spans="1:16" ht="15" customHeight="1">
      <c r="A177" s="14" t="s">
        <v>1036</v>
      </c>
      <c r="B177" s="14" t="s">
        <v>3</v>
      </c>
      <c r="C177" s="761" t="s">
        <v>53</v>
      </c>
      <c r="D177" s="439">
        <v>41542</v>
      </c>
      <c r="E177" s="14">
        <v>1</v>
      </c>
      <c r="F177" s="768">
        <v>1.0314000000000001</v>
      </c>
      <c r="G177" s="502"/>
      <c r="H177" s="543">
        <v>41558</v>
      </c>
      <c r="I177" s="763">
        <v>1.0356099999999999</v>
      </c>
      <c r="J177" s="832">
        <f>SUM(I177-F177)*10000</f>
        <v>42.099999999998246</v>
      </c>
      <c r="K177" s="426">
        <f t="shared" si="16"/>
        <v>9.6561446876720005</v>
      </c>
      <c r="L177" s="764">
        <f>SUM((I177-F177)/J177*K177)*E177</f>
        <v>9.6561446876720013E-4</v>
      </c>
      <c r="M177" s="761" t="s">
        <v>884</v>
      </c>
      <c r="N177" s="763">
        <v>1.0356099999999999</v>
      </c>
      <c r="O177" s="833">
        <f t="shared" si="17"/>
        <v>392.54515826515222</v>
      </c>
      <c r="P177" s="361"/>
    </row>
    <row r="178" spans="1:16" ht="15" customHeight="1">
      <c r="A178" s="456" t="s">
        <v>1040</v>
      </c>
      <c r="B178" s="456" t="s">
        <v>3</v>
      </c>
      <c r="C178" s="786" t="s">
        <v>78</v>
      </c>
      <c r="D178" s="787">
        <v>41555</v>
      </c>
      <c r="E178" s="456">
        <v>1</v>
      </c>
      <c r="F178" s="834">
        <v>1.3535999999999999</v>
      </c>
      <c r="G178" s="789"/>
      <c r="H178" s="543">
        <v>41564</v>
      </c>
      <c r="I178" s="790">
        <v>1.3603000000000001</v>
      </c>
      <c r="J178" s="832">
        <f>SUM(F178-I178)*10000</f>
        <v>-67.000000000001506</v>
      </c>
      <c r="K178" s="782">
        <f t="shared" si="16"/>
        <v>7.3556454578889303</v>
      </c>
      <c r="L178" s="791">
        <f>SUM((F178-I178)/J178*K178)*E178</f>
        <v>7.35564545788893E-4</v>
      </c>
      <c r="M178" s="786" t="s">
        <v>884</v>
      </c>
      <c r="N178" s="677">
        <v>1.3594999999999999</v>
      </c>
      <c r="O178" s="833">
        <f t="shared" si="17"/>
        <v>-362.50698468449389</v>
      </c>
      <c r="P178" s="276"/>
    </row>
    <row r="179" spans="1:16" ht="15" customHeight="1">
      <c r="A179" s="456" t="s">
        <v>1180</v>
      </c>
      <c r="B179" s="456" t="s">
        <v>3</v>
      </c>
      <c r="C179" s="786" t="s">
        <v>78</v>
      </c>
      <c r="D179" s="787">
        <v>41561</v>
      </c>
      <c r="E179" s="456">
        <v>1</v>
      </c>
      <c r="F179" s="834">
        <v>1.64741</v>
      </c>
      <c r="G179" s="789"/>
      <c r="H179" s="543">
        <v>41569</v>
      </c>
      <c r="I179" s="790">
        <v>1.6701999999999999</v>
      </c>
      <c r="J179" s="832">
        <f>SUM(F179-I179)*10000</f>
        <v>-227.89999999999867</v>
      </c>
      <c r="K179" s="782">
        <f t="shared" si="16"/>
        <v>6.0503388189738621</v>
      </c>
      <c r="L179" s="791">
        <f>SUM((F179-I179)/J179*K179)*E179</f>
        <v>6.0503388189738611E-4</v>
      </c>
      <c r="M179" s="786" t="s">
        <v>884</v>
      </c>
      <c r="N179" s="677">
        <v>1.6528</v>
      </c>
      <c r="O179" s="833">
        <f t="shared" si="17"/>
        <v>-834.26440999766169</v>
      </c>
      <c r="P179" s="276"/>
    </row>
    <row r="180" spans="1:16" ht="15" customHeight="1">
      <c r="A180" s="14" t="s">
        <v>1125</v>
      </c>
      <c r="B180" s="14" t="s">
        <v>3</v>
      </c>
      <c r="C180" s="761" t="s">
        <v>53</v>
      </c>
      <c r="D180" s="439">
        <v>41561</v>
      </c>
      <c r="E180" s="14">
        <v>1</v>
      </c>
      <c r="F180" s="768">
        <v>1.1846000000000001</v>
      </c>
      <c r="G180" s="502"/>
      <c r="H180" s="543">
        <v>41569</v>
      </c>
      <c r="I180" s="763">
        <v>1.2039</v>
      </c>
      <c r="J180" s="832">
        <f>SUM(I180-F180)*10000</f>
        <v>192.99999999999872</v>
      </c>
      <c r="K180" s="426">
        <f t="shared" si="16"/>
        <v>8.4366826963637891</v>
      </c>
      <c r="L180" s="764">
        <f>SUM((I180-F180)/J180*K180)*E180</f>
        <v>8.4366826963637898E-4</v>
      </c>
      <c r="M180" s="761" t="s">
        <v>884</v>
      </c>
      <c r="N180" s="759">
        <v>1.1853</v>
      </c>
      <c r="O180" s="833">
        <f t="shared" si="17"/>
        <v>1373.7279679390876</v>
      </c>
      <c r="P180" s="361"/>
    </row>
    <row r="181" spans="1:16" ht="15" customHeight="1">
      <c r="A181" s="14" t="s">
        <v>1147</v>
      </c>
      <c r="B181" s="14" t="s">
        <v>3</v>
      </c>
      <c r="C181" s="761" t="s">
        <v>53</v>
      </c>
      <c r="D181" s="439">
        <v>41558</v>
      </c>
      <c r="E181" s="14">
        <v>1</v>
      </c>
      <c r="F181" s="768">
        <v>81.55</v>
      </c>
      <c r="G181" s="502"/>
      <c r="H181" s="543">
        <v>41571</v>
      </c>
      <c r="I181" s="763">
        <v>83.67</v>
      </c>
      <c r="J181" s="832">
        <f>SUM(I181-F181)*10000</f>
        <v>21200.000000000044</v>
      </c>
      <c r="K181" s="426">
        <f>SUM(100000/N181)/100</f>
        <v>10.188487009679061</v>
      </c>
      <c r="L181" s="764">
        <f>SUM((I181-F181)/J181*K181)*E181</f>
        <v>1.0188487009679063E-3</v>
      </c>
      <c r="M181" s="761" t="s">
        <v>884</v>
      </c>
      <c r="N181" s="759">
        <v>98.15</v>
      </c>
      <c r="O181" s="833">
        <f t="shared" si="17"/>
        <v>2200.6716719836631</v>
      </c>
      <c r="P181" s="361"/>
    </row>
    <row r="182" spans="1:16" ht="15" customHeight="1">
      <c r="A182" s="14" t="s">
        <v>1162</v>
      </c>
      <c r="B182" s="14" t="s">
        <v>3</v>
      </c>
      <c r="C182" s="761" t="s">
        <v>53</v>
      </c>
      <c r="D182" s="439">
        <v>41569</v>
      </c>
      <c r="E182" s="14">
        <v>1</v>
      </c>
      <c r="F182" s="768">
        <v>94.9</v>
      </c>
      <c r="G182" s="502"/>
      <c r="H182" s="543">
        <v>41570</v>
      </c>
      <c r="I182" s="763">
        <v>93.96</v>
      </c>
      <c r="J182" s="832">
        <f>SUM(I182-F182)*10000</f>
        <v>-9400.0000000001201</v>
      </c>
      <c r="K182" s="426">
        <f>SUM(100000/N182)/100</f>
        <v>10.271158586688578</v>
      </c>
      <c r="L182" s="764">
        <f>SUM((I182-F182)/J182*K182)*E182</f>
        <v>1.0271158586688577E-3</v>
      </c>
      <c r="M182" s="761" t="s">
        <v>884</v>
      </c>
      <c r="N182" s="759">
        <v>97.36</v>
      </c>
      <c r="O182" s="833">
        <f t="shared" si="17"/>
        <v>-991.66896790133387</v>
      </c>
      <c r="P182" s="361"/>
    </row>
    <row r="183" spans="1:16" ht="15" customHeight="1">
      <c r="A183" s="456" t="s">
        <v>1150</v>
      </c>
      <c r="B183" s="456" t="s">
        <v>3</v>
      </c>
      <c r="C183" s="786" t="s">
        <v>78</v>
      </c>
      <c r="D183" s="787">
        <v>41576</v>
      </c>
      <c r="E183" s="456">
        <v>1</v>
      </c>
      <c r="F183" s="834">
        <v>0.8528</v>
      </c>
      <c r="G183" s="789"/>
      <c r="H183" s="543">
        <v>41579</v>
      </c>
      <c r="I183" s="790">
        <v>0.86060000000000003</v>
      </c>
      <c r="J183" s="832">
        <f>SUM(F183-I183)*10000</f>
        <v>-78.000000000000284</v>
      </c>
      <c r="K183" s="782">
        <f t="shared" ref="K183:K208" si="18">SUM(100000/N183)/10000</f>
        <v>11.029006286533585</v>
      </c>
      <c r="L183" s="791">
        <f>SUM((F183-I183)/J183*K183)*E183</f>
        <v>1.1029006286533585E-3</v>
      </c>
      <c r="M183" s="786" t="s">
        <v>884</v>
      </c>
      <c r="N183" s="677">
        <v>0.90669999999999995</v>
      </c>
      <c r="O183" s="833">
        <f t="shared" ref="O183:O195" si="19">SUM(J183*K183)/N183</f>
        <v>-948.78404141350268</v>
      </c>
      <c r="P183" s="276"/>
    </row>
    <row r="184" spans="1:16" ht="15" customHeight="1">
      <c r="A184" s="14" t="s">
        <v>1151</v>
      </c>
      <c r="B184" s="14" t="s">
        <v>3</v>
      </c>
      <c r="C184" s="761" t="s">
        <v>53</v>
      </c>
      <c r="D184" s="439">
        <v>41577</v>
      </c>
      <c r="E184" s="14">
        <v>1</v>
      </c>
      <c r="F184" s="768">
        <v>1.6948000000000001</v>
      </c>
      <c r="G184" s="502"/>
      <c r="H184" s="543">
        <v>41582</v>
      </c>
      <c r="I184" s="763">
        <v>1.6812</v>
      </c>
      <c r="J184" s="832">
        <f>SUM(I184-F184)*10000</f>
        <v>-136.00000000000057</v>
      </c>
      <c r="K184" s="426">
        <f t="shared" si="18"/>
        <v>9.4809999999999999</v>
      </c>
      <c r="L184" s="764">
        <f>SUM((I184-F184)/J184*K184)*E184</f>
        <v>9.480999999999999E-4</v>
      </c>
      <c r="M184" s="761" t="s">
        <v>884</v>
      </c>
      <c r="N184" s="759">
        <f>1/0.9481</f>
        <v>1.0547410610695074</v>
      </c>
      <c r="O184" s="833">
        <f t="shared" si="19"/>
        <v>-1222.4953096000052</v>
      </c>
      <c r="P184" s="361"/>
    </row>
    <row r="185" spans="1:16" ht="15" customHeight="1">
      <c r="A185" s="456" t="s">
        <v>1157</v>
      </c>
      <c r="B185" s="456" t="s">
        <v>3</v>
      </c>
      <c r="C185" s="786" t="s">
        <v>78</v>
      </c>
      <c r="D185" s="787">
        <v>41576</v>
      </c>
      <c r="E185" s="456">
        <v>1</v>
      </c>
      <c r="F185" s="834">
        <v>156.88</v>
      </c>
      <c r="G185" s="789"/>
      <c r="H185" s="543">
        <v>41584</v>
      </c>
      <c r="I185" s="790">
        <v>158.31</v>
      </c>
      <c r="J185" s="832">
        <f>SUM(F185-I185)*10000</f>
        <v>-14300.000000000069</v>
      </c>
      <c r="K185" s="782">
        <f t="shared" si="18"/>
        <v>0.10186411327289396</v>
      </c>
      <c r="L185" s="791">
        <f>SUM((F185-I185)/J185*K185)*E185</f>
        <v>1.0186411327289395E-5</v>
      </c>
      <c r="M185" s="786" t="s">
        <v>884</v>
      </c>
      <c r="N185" s="677">
        <v>98.17</v>
      </c>
      <c r="O185" s="833">
        <f t="shared" si="19"/>
        <v>-14.838105529208422</v>
      </c>
      <c r="P185" s="276"/>
    </row>
    <row r="186" spans="1:16" ht="15" customHeight="1">
      <c r="A186" s="14" t="s">
        <v>1147</v>
      </c>
      <c r="B186" s="14" t="s">
        <v>3</v>
      </c>
      <c r="C186" s="761" t="s">
        <v>53</v>
      </c>
      <c r="D186" s="439">
        <v>41577</v>
      </c>
      <c r="E186" s="14">
        <v>1</v>
      </c>
      <c r="F186" s="768">
        <v>81.400000000000006</v>
      </c>
      <c r="G186" s="502"/>
      <c r="H186" s="543">
        <v>41585</v>
      </c>
      <c r="I186" s="763">
        <v>81.540000000000006</v>
      </c>
      <c r="J186" s="832">
        <f>SUM(I186-F186)*10000</f>
        <v>1400.0000000000057</v>
      </c>
      <c r="K186" s="426">
        <f t="shared" si="18"/>
        <v>0.10152284263959391</v>
      </c>
      <c r="L186" s="764">
        <f>SUM((I186-F186)/J186*K186)*E186</f>
        <v>1.0152284263959391E-5</v>
      </c>
      <c r="M186" s="761" t="s">
        <v>884</v>
      </c>
      <c r="N186" s="759">
        <v>98.5</v>
      </c>
      <c r="O186" s="833">
        <f t="shared" si="19"/>
        <v>1.4429642608673305</v>
      </c>
      <c r="P186" s="361"/>
    </row>
    <row r="187" spans="1:16" ht="15" customHeight="1">
      <c r="A187" s="14" t="s">
        <v>1183</v>
      </c>
      <c r="B187" s="14" t="s">
        <v>3</v>
      </c>
      <c r="C187" s="761" t="s">
        <v>53</v>
      </c>
      <c r="D187" s="439">
        <v>41585</v>
      </c>
      <c r="E187" s="14">
        <v>1</v>
      </c>
      <c r="F187" s="768">
        <v>1.9152</v>
      </c>
      <c r="G187" s="502"/>
      <c r="H187" s="543">
        <v>41586</v>
      </c>
      <c r="I187" s="763">
        <v>1.9446000000000001</v>
      </c>
      <c r="J187" s="832">
        <f>SUM(I187-F187)*10000</f>
        <v>294.00000000000091</v>
      </c>
      <c r="K187" s="426">
        <f t="shared" si="18"/>
        <v>0.10089799212995662</v>
      </c>
      <c r="L187" s="764">
        <f>SUM((I187-F187)/J187*K187)*E187</f>
        <v>1.0089799212995662E-5</v>
      </c>
      <c r="M187" s="761" t="s">
        <v>884</v>
      </c>
      <c r="N187" s="759">
        <v>99.11</v>
      </c>
      <c r="O187" s="833">
        <f t="shared" si="19"/>
        <v>0.29930390158619052</v>
      </c>
      <c r="P187" s="361"/>
    </row>
    <row r="188" spans="1:16" ht="15" customHeight="1">
      <c r="A188" s="14" t="s">
        <v>1154</v>
      </c>
      <c r="B188" s="14" t="s">
        <v>3</v>
      </c>
      <c r="C188" s="761" t="s">
        <v>53</v>
      </c>
      <c r="D188" s="439">
        <v>41586</v>
      </c>
      <c r="E188" s="14">
        <v>1</v>
      </c>
      <c r="F188" s="768">
        <v>1.1375999999999999</v>
      </c>
      <c r="G188" s="502"/>
      <c r="H188" s="543">
        <v>41590</v>
      </c>
      <c r="I188" s="763">
        <v>1.1304000000000001</v>
      </c>
      <c r="J188" s="832">
        <f>SUM(I188-F188)*10000</f>
        <v>-71.999999999998735</v>
      </c>
      <c r="K188" s="426">
        <f t="shared" si="18"/>
        <v>8.2637798529047188</v>
      </c>
      <c r="L188" s="764">
        <f>SUM((I188-F188)/J188*K188)*E188</f>
        <v>8.2637798529047182E-4</v>
      </c>
      <c r="M188" s="761" t="s">
        <v>884</v>
      </c>
      <c r="N188" s="759">
        <v>1.2101</v>
      </c>
      <c r="O188" s="833">
        <f t="shared" si="19"/>
        <v>-491.68841369236372</v>
      </c>
      <c r="P188" s="361"/>
    </row>
    <row r="189" spans="1:16" ht="15" customHeight="1">
      <c r="A189" s="456" t="s">
        <v>1146</v>
      </c>
      <c r="B189" s="456" t="s">
        <v>3</v>
      </c>
      <c r="C189" s="786" t="s">
        <v>78</v>
      </c>
      <c r="D189" s="787">
        <v>41585</v>
      </c>
      <c r="E189" s="456">
        <v>1</v>
      </c>
      <c r="F189" s="834">
        <v>1.3995</v>
      </c>
      <c r="G189" s="789"/>
      <c r="H189" s="543">
        <v>41590</v>
      </c>
      <c r="I189" s="790">
        <v>1.41</v>
      </c>
      <c r="J189" s="832">
        <f>SUM(F189-I189)*10000</f>
        <v>-104.99999999999955</v>
      </c>
      <c r="K189" s="782">
        <f t="shared" si="18"/>
        <v>9.5283468318246776</v>
      </c>
      <c r="L189" s="791">
        <f>SUM((F189-I189)/J189*K189)*E189</f>
        <v>9.5283468318246769E-4</v>
      </c>
      <c r="M189" s="786" t="s">
        <v>884</v>
      </c>
      <c r="N189" s="677">
        <v>1.0495000000000001</v>
      </c>
      <c r="O189" s="833">
        <f t="shared" si="19"/>
        <v>-953.28863014920125</v>
      </c>
      <c r="P189" s="276"/>
    </row>
    <row r="190" spans="1:16" ht="15" customHeight="1">
      <c r="A190" s="456" t="s">
        <v>1040</v>
      </c>
      <c r="B190" s="456" t="s">
        <v>3</v>
      </c>
      <c r="C190" s="786" t="s">
        <v>78</v>
      </c>
      <c r="D190" s="787">
        <v>41585</v>
      </c>
      <c r="E190" s="456">
        <v>1</v>
      </c>
      <c r="F190" s="834">
        <v>1.3440000000000001</v>
      </c>
      <c r="G190" s="789"/>
      <c r="H190" s="543">
        <v>41591</v>
      </c>
      <c r="I190" s="790">
        <v>1.3462000000000001</v>
      </c>
      <c r="J190" s="832">
        <f>SUM(F190-I190)*10000</f>
        <v>-21.999999999999797</v>
      </c>
      <c r="K190" s="782">
        <f t="shared" si="18"/>
        <v>10</v>
      </c>
      <c r="L190" s="791">
        <f>SUM((F190-I190)/J190*K190)*E190</f>
        <v>1E-3</v>
      </c>
      <c r="M190" s="786" t="s">
        <v>884</v>
      </c>
      <c r="N190" s="677">
        <v>1</v>
      </c>
      <c r="O190" s="833">
        <f t="shared" si="19"/>
        <v>-219.99999999999798</v>
      </c>
      <c r="P190" s="276"/>
    </row>
    <row r="191" spans="1:16" ht="15" customHeight="1">
      <c r="A191" s="14" t="s">
        <v>1153</v>
      </c>
      <c r="B191" s="14" t="s">
        <v>3</v>
      </c>
      <c r="C191" s="761" t="s">
        <v>53</v>
      </c>
      <c r="D191" s="439">
        <v>41585</v>
      </c>
      <c r="E191" s="14">
        <v>1</v>
      </c>
      <c r="F191" s="768">
        <v>0.91520000000000001</v>
      </c>
      <c r="G191" s="502"/>
      <c r="H191" s="543">
        <v>41591</v>
      </c>
      <c r="I191" s="763">
        <v>0.91369999999999996</v>
      </c>
      <c r="J191" s="832">
        <f>SUM(I191-F191)*10000</f>
        <v>-15.000000000000568</v>
      </c>
      <c r="K191" s="426">
        <f t="shared" si="18"/>
        <v>10.877841836179702</v>
      </c>
      <c r="L191" s="764">
        <f>SUM((I191-F191)/J191*K191)*E191</f>
        <v>1.0877841836179703E-3</v>
      </c>
      <c r="M191" s="761" t="s">
        <v>884</v>
      </c>
      <c r="N191" s="759">
        <v>0.91930000000000001</v>
      </c>
      <c r="O191" s="833">
        <f t="shared" si="19"/>
        <v>-177.49116451941879</v>
      </c>
      <c r="P191" s="361"/>
    </row>
    <row r="192" spans="1:16" ht="15" customHeight="1">
      <c r="A192" s="456" t="s">
        <v>1125</v>
      </c>
      <c r="B192" s="456" t="s">
        <v>3</v>
      </c>
      <c r="C192" s="786" t="s">
        <v>78</v>
      </c>
      <c r="D192" s="787">
        <v>41599</v>
      </c>
      <c r="E192" s="456">
        <v>1</v>
      </c>
      <c r="F192" s="834">
        <v>1.1677</v>
      </c>
      <c r="G192" s="789"/>
      <c r="H192" s="543">
        <v>41604</v>
      </c>
      <c r="I192" s="790">
        <v>1.1407</v>
      </c>
      <c r="J192" s="832">
        <f>SUM(F192-I192)*10000</f>
        <v>269.99999999999915</v>
      </c>
      <c r="K192" s="782">
        <f t="shared" si="18"/>
        <v>8.0019204609106183</v>
      </c>
      <c r="L192" s="791">
        <f>SUM((F192-I192)/J192*K192)*E192</f>
        <v>8.0019204609106177E-4</v>
      </c>
      <c r="M192" s="786" t="s">
        <v>884</v>
      </c>
      <c r="N192" s="677">
        <v>1.2497</v>
      </c>
      <c r="O192" s="833">
        <f t="shared" si="19"/>
        <v>1728.8297386939748</v>
      </c>
      <c r="P192" s="276"/>
    </row>
    <row r="193" spans="1:16" ht="15" customHeight="1">
      <c r="A193" s="456" t="s">
        <v>1036</v>
      </c>
      <c r="B193" s="456" t="s">
        <v>3</v>
      </c>
      <c r="C193" s="786" t="s">
        <v>78</v>
      </c>
      <c r="D193" s="787">
        <v>41604</v>
      </c>
      <c r="E193" s="456">
        <v>1</v>
      </c>
      <c r="F193" s="834">
        <v>1.0529999999999999</v>
      </c>
      <c r="G193" s="789"/>
      <c r="H193" s="543">
        <v>41605</v>
      </c>
      <c r="I193" s="790">
        <v>1.0588</v>
      </c>
      <c r="J193" s="832">
        <f>SUM(F193-I193)*10000</f>
        <v>-58.00000000000027</v>
      </c>
      <c r="K193" s="782">
        <f t="shared" si="18"/>
        <v>10.587612493382743</v>
      </c>
      <c r="L193" s="791">
        <f>SUM((F193-I193)/J193*K193)*E193</f>
        <v>1.0587612493382743E-3</v>
      </c>
      <c r="M193" s="786" t="s">
        <v>884</v>
      </c>
      <c r="N193" s="677">
        <v>0.94450000000000001</v>
      </c>
      <c r="O193" s="833">
        <f t="shared" si="19"/>
        <v>-650.16572219820216</v>
      </c>
      <c r="P193" s="276"/>
    </row>
    <row r="194" spans="1:16" ht="15" customHeight="1">
      <c r="A194" s="456" t="s">
        <v>1148</v>
      </c>
      <c r="B194" s="456" t="s">
        <v>3</v>
      </c>
      <c r="C194" s="786" t="s">
        <v>78</v>
      </c>
      <c r="D194" s="787">
        <v>41599</v>
      </c>
      <c r="E194" s="456">
        <v>1</v>
      </c>
      <c r="F194" s="834">
        <v>0.9798</v>
      </c>
      <c r="G194" s="789"/>
      <c r="H194" s="543">
        <v>41610</v>
      </c>
      <c r="I194" s="790">
        <v>0.96870000000000001</v>
      </c>
      <c r="J194" s="832">
        <f>SUM(F194-I194)*10000</f>
        <v>110.99999999999999</v>
      </c>
      <c r="K194" s="782">
        <f t="shared" si="18"/>
        <v>9.5111280197831469</v>
      </c>
      <c r="L194" s="791">
        <f>SUM((F194-I194)/J194*K194)*E194</f>
        <v>9.5111280197831475E-4</v>
      </c>
      <c r="M194" s="786" t="s">
        <v>884</v>
      </c>
      <c r="N194" s="677">
        <v>1.0513999999999999</v>
      </c>
      <c r="O194" s="833">
        <f t="shared" si="19"/>
        <v>1004.1232739166152</v>
      </c>
      <c r="P194" s="276"/>
    </row>
    <row r="195" spans="1:16" ht="15" customHeight="1">
      <c r="A195" s="456" t="s">
        <v>1064</v>
      </c>
      <c r="B195" s="456" t="s">
        <v>3</v>
      </c>
      <c r="C195" s="786" t="s">
        <v>78</v>
      </c>
      <c r="D195" s="787">
        <v>41599</v>
      </c>
      <c r="E195" s="456">
        <v>1</v>
      </c>
      <c r="F195" s="834">
        <v>0.92649999999999999</v>
      </c>
      <c r="G195" s="789"/>
      <c r="H195" s="543">
        <v>41612</v>
      </c>
      <c r="I195" s="790">
        <v>0.90069999999999995</v>
      </c>
      <c r="J195" s="832">
        <f>SUM(F195-I195)*10000</f>
        <v>258.00000000000045</v>
      </c>
      <c r="K195" s="782">
        <f t="shared" si="18"/>
        <v>10</v>
      </c>
      <c r="L195" s="791">
        <f>SUM((F195-I195)/J195*K195)*E195</f>
        <v>1E-3</v>
      </c>
      <c r="M195" s="786" t="s">
        <v>884</v>
      </c>
      <c r="N195" s="677">
        <v>1</v>
      </c>
      <c r="O195" s="833">
        <f t="shared" si="19"/>
        <v>2580.0000000000045</v>
      </c>
      <c r="P195" s="276"/>
    </row>
    <row r="196" spans="1:16" ht="15" customHeight="1">
      <c r="A196" s="14" t="s">
        <v>1035</v>
      </c>
      <c r="B196" s="14" t="s">
        <v>3</v>
      </c>
      <c r="C196" s="761" t="s">
        <v>53</v>
      </c>
      <c r="D196" s="439">
        <v>41612</v>
      </c>
      <c r="E196" s="14">
        <v>1</v>
      </c>
      <c r="F196" s="768">
        <v>0.83009999999999995</v>
      </c>
      <c r="G196" s="502"/>
      <c r="H196" s="543">
        <v>41620</v>
      </c>
      <c r="I196" s="763">
        <v>0.81950000000000001</v>
      </c>
      <c r="J196" s="832">
        <f>SUM(I196-F196)*10000</f>
        <v>-105.99999999999943</v>
      </c>
      <c r="K196" s="426">
        <f t="shared" si="18"/>
        <v>6.1050061050061055</v>
      </c>
      <c r="L196" s="764">
        <f>SUM((I196-F196)/J196*K196)*E196</f>
        <v>6.105006105006105E-4</v>
      </c>
      <c r="M196" s="761" t="s">
        <v>884</v>
      </c>
      <c r="N196" s="759">
        <v>1.6379999999999999</v>
      </c>
      <c r="O196" s="833">
        <f>SUM(J196*K196)*N196</f>
        <v>-1059.9999999999943</v>
      </c>
      <c r="P196" s="361"/>
    </row>
    <row r="197" spans="1:16" ht="15" customHeight="1">
      <c r="A197" s="456" t="s">
        <v>1151</v>
      </c>
      <c r="B197" s="456" t="s">
        <v>3</v>
      </c>
      <c r="C197" s="786" t="s">
        <v>78</v>
      </c>
      <c r="D197" s="787">
        <v>41619</v>
      </c>
      <c r="E197" s="456">
        <v>1</v>
      </c>
      <c r="F197" s="834">
        <v>1.7889999999999999</v>
      </c>
      <c r="G197" s="789"/>
      <c r="H197" s="543">
        <v>41620</v>
      </c>
      <c r="I197" s="790">
        <v>1.8194999999999999</v>
      </c>
      <c r="J197" s="832">
        <f>SUM(F197-I197)*10000</f>
        <v>-304.99999999999972</v>
      </c>
      <c r="K197" s="782">
        <f t="shared" si="18"/>
        <v>11.075423634954037</v>
      </c>
      <c r="L197" s="791">
        <f>SUM((F197-I197)/J197*K197)*E197</f>
        <v>1.1075423634954037E-3</v>
      </c>
      <c r="M197" s="786" t="s">
        <v>884</v>
      </c>
      <c r="N197" s="677">
        <v>0.90290000000000004</v>
      </c>
      <c r="O197" s="833">
        <f t="shared" ref="O197:O208" si="20">SUM(J197*K197)/N197</f>
        <v>-3741.2827651578</v>
      </c>
      <c r="P197" s="276"/>
    </row>
    <row r="198" spans="1:16" ht="15" customHeight="1">
      <c r="A198" s="456" t="s">
        <v>1036</v>
      </c>
      <c r="B198" s="456" t="s">
        <v>3</v>
      </c>
      <c r="C198" s="786" t="s">
        <v>78</v>
      </c>
      <c r="D198" s="787">
        <v>41619</v>
      </c>
      <c r="E198" s="456">
        <v>1</v>
      </c>
      <c r="F198" s="834">
        <v>1.0606</v>
      </c>
      <c r="G198" s="789"/>
      <c r="H198" s="543">
        <v>41621</v>
      </c>
      <c r="I198" s="790">
        <v>1.0663</v>
      </c>
      <c r="J198" s="832">
        <f>SUM(F198-I198)*10000</f>
        <v>-57.000000000000384</v>
      </c>
      <c r="K198" s="782">
        <f t="shared" si="18"/>
        <v>10.642826734780757</v>
      </c>
      <c r="L198" s="791">
        <f>SUM((F198-I198)/J198*K198)*E198</f>
        <v>1.0642826734780758E-3</v>
      </c>
      <c r="M198" s="786" t="s">
        <v>884</v>
      </c>
      <c r="N198" s="677">
        <v>0.93959999999999999</v>
      </c>
      <c r="O198" s="833">
        <f t="shared" si="20"/>
        <v>-645.63763716741937</v>
      </c>
      <c r="P198" s="276"/>
    </row>
    <row r="199" spans="1:16" ht="15" customHeight="1">
      <c r="A199" s="14" t="s">
        <v>1153</v>
      </c>
      <c r="B199" s="14" t="s">
        <v>3</v>
      </c>
      <c r="C199" s="761" t="s">
        <v>53</v>
      </c>
      <c r="D199" s="439">
        <v>41626</v>
      </c>
      <c r="E199" s="14">
        <v>1</v>
      </c>
      <c r="F199" s="768">
        <v>0.89229999999999998</v>
      </c>
      <c r="G199" s="502"/>
      <c r="H199" s="543">
        <v>41635</v>
      </c>
      <c r="I199" s="763">
        <v>0.88919999999999999</v>
      </c>
      <c r="J199" s="832">
        <f>SUM(I199-F199)*10000</f>
        <v>-30.999999999999915</v>
      </c>
      <c r="K199" s="426">
        <f t="shared" si="18"/>
        <v>8.9365504915102782</v>
      </c>
      <c r="L199" s="764">
        <f>SUM((I199-F199)/J199*K199)*E199</f>
        <v>8.936550491510279E-4</v>
      </c>
      <c r="M199" s="761" t="s">
        <v>884</v>
      </c>
      <c r="N199" s="759">
        <v>1.119</v>
      </c>
      <c r="O199" s="833">
        <f t="shared" si="20"/>
        <v>-247.57199753066837</v>
      </c>
      <c r="P199" s="361"/>
    </row>
    <row r="200" spans="1:16" ht="15" customHeight="1">
      <c r="A200" s="456" t="s">
        <v>1146</v>
      </c>
      <c r="B200" s="456" t="s">
        <v>3</v>
      </c>
      <c r="C200" s="786" t="s">
        <v>78</v>
      </c>
      <c r="D200" s="787">
        <v>41631</v>
      </c>
      <c r="E200" s="456">
        <v>1</v>
      </c>
      <c r="F200" s="834">
        <v>1.4524999999999999</v>
      </c>
      <c r="G200" s="789"/>
      <c r="H200" s="543">
        <v>41635</v>
      </c>
      <c r="I200" s="790">
        <v>1.4702999999999999</v>
      </c>
      <c r="J200" s="832">
        <f>SUM(F200-I200)*10000</f>
        <v>-178.00000000000037</v>
      </c>
      <c r="K200" s="782">
        <f t="shared" si="18"/>
        <v>10.645092612305728</v>
      </c>
      <c r="L200" s="791">
        <f>SUM((F200-I200)/J200*K200)*E200</f>
        <v>1.0645092612305729E-3</v>
      </c>
      <c r="M200" s="786" t="s">
        <v>884</v>
      </c>
      <c r="N200" s="677">
        <v>0.93940000000000001</v>
      </c>
      <c r="O200" s="833">
        <f t="shared" si="20"/>
        <v>-2017.0603416972785</v>
      </c>
      <c r="P200" s="276"/>
    </row>
    <row r="201" spans="1:16" ht="15" customHeight="1">
      <c r="A201" s="14" t="s">
        <v>1065</v>
      </c>
      <c r="B201" s="14" t="s">
        <v>3</v>
      </c>
      <c r="C201" s="761" t="s">
        <v>53</v>
      </c>
      <c r="D201" s="439">
        <v>41625</v>
      </c>
      <c r="E201" s="14">
        <v>1</v>
      </c>
      <c r="F201" s="768">
        <v>1.2587999999999999</v>
      </c>
      <c r="G201" s="502"/>
      <c r="H201" s="543">
        <v>41640</v>
      </c>
      <c r="I201" s="763">
        <v>1.2630999999999999</v>
      </c>
      <c r="J201" s="832">
        <f>SUM(I201-F201)*10000</f>
        <v>42.999999999999702</v>
      </c>
      <c r="K201" s="426">
        <f t="shared" si="18"/>
        <v>12.588116817724069</v>
      </c>
      <c r="L201" s="764">
        <f>SUM((I201-F201)/J201*K201)*E201</f>
        <v>1.2588116817724071E-3</v>
      </c>
      <c r="M201" s="761" t="s">
        <v>884</v>
      </c>
      <c r="N201" s="759">
        <v>0.7944</v>
      </c>
      <c r="O201" s="833">
        <f t="shared" si="20"/>
        <v>681.38094557166573</v>
      </c>
      <c r="P201" s="361"/>
    </row>
    <row r="202" spans="1:16" ht="15" customHeight="1">
      <c r="A202" s="14" t="s">
        <v>1149</v>
      </c>
      <c r="B202" s="14" t="s">
        <v>3</v>
      </c>
      <c r="C202" s="761" t="s">
        <v>53</v>
      </c>
      <c r="D202" s="439">
        <v>41627</v>
      </c>
      <c r="E202" s="14">
        <v>1</v>
      </c>
      <c r="F202" s="768">
        <v>1.2252000000000001</v>
      </c>
      <c r="G202" s="502"/>
      <c r="H202" s="543">
        <v>41640</v>
      </c>
      <c r="I202" s="763">
        <v>1.2219</v>
      </c>
      <c r="J202" s="832">
        <f>SUM(I202-F202)*10000</f>
        <v>-33.00000000000081</v>
      </c>
      <c r="K202" s="426">
        <f t="shared" si="18"/>
        <v>8.9365504915102782</v>
      </c>
      <c r="L202" s="764">
        <f>SUM((I202-F202)/J202*K202)*E202</f>
        <v>8.9365504915102779E-4</v>
      </c>
      <c r="M202" s="761" t="s">
        <v>884</v>
      </c>
      <c r="N202" s="759">
        <v>1.119</v>
      </c>
      <c r="O202" s="833">
        <f t="shared" si="20"/>
        <v>-263.54438446813799</v>
      </c>
      <c r="P202" s="361"/>
    </row>
    <row r="203" spans="1:16" ht="15" customHeight="1">
      <c r="A203" s="14" t="s">
        <v>1150</v>
      </c>
      <c r="B203" s="14" t="s">
        <v>3</v>
      </c>
      <c r="C203" s="761" t="s">
        <v>53</v>
      </c>
      <c r="D203" s="439">
        <v>41652</v>
      </c>
      <c r="E203" s="14">
        <v>1</v>
      </c>
      <c r="F203" s="768">
        <v>0.81769999999999998</v>
      </c>
      <c r="G203" s="502"/>
      <c r="H203" s="543">
        <v>41653</v>
      </c>
      <c r="I203" s="763">
        <v>0.8105</v>
      </c>
      <c r="J203" s="832">
        <f>SUM(I203-F203)*10000</f>
        <v>-71.999999999999844</v>
      </c>
      <c r="K203" s="426">
        <f t="shared" si="18"/>
        <v>11.12099644128114</v>
      </c>
      <c r="L203" s="764">
        <f>SUM((I203-F203)/J203*K203)*E203</f>
        <v>1.1120996441281138E-3</v>
      </c>
      <c r="M203" s="761" t="s">
        <v>884</v>
      </c>
      <c r="N203" s="759">
        <v>0.8992</v>
      </c>
      <c r="O203" s="833">
        <f t="shared" si="20"/>
        <v>-890.47124529831001</v>
      </c>
      <c r="P203" s="361"/>
    </row>
    <row r="204" spans="1:16" ht="15" customHeight="1">
      <c r="A204" s="14" t="s">
        <v>1162</v>
      </c>
      <c r="B204" s="14" t="s">
        <v>3</v>
      </c>
      <c r="C204" s="761" t="s">
        <v>53</v>
      </c>
      <c r="D204" s="439">
        <v>41660</v>
      </c>
      <c r="E204" s="14">
        <v>1</v>
      </c>
      <c r="F204" s="768">
        <v>91.97</v>
      </c>
      <c r="G204" s="502"/>
      <c r="H204" s="543">
        <v>90.71</v>
      </c>
      <c r="I204" s="763">
        <v>90.71</v>
      </c>
      <c r="J204" s="832">
        <f>SUM(I204-F204)*100</f>
        <v>-126.00000000000051</v>
      </c>
      <c r="K204" s="426">
        <f t="shared" si="18"/>
        <v>10</v>
      </c>
      <c r="L204" s="764">
        <f>SUM((I204-F204)/J204*K204)*E204</f>
        <v>0.1</v>
      </c>
      <c r="M204" s="761" t="s">
        <v>884</v>
      </c>
      <c r="N204" s="759">
        <v>1</v>
      </c>
      <c r="O204" s="833">
        <f t="shared" si="20"/>
        <v>-1260.000000000005</v>
      </c>
      <c r="P204" s="361"/>
    </row>
    <row r="205" spans="1:16" ht="15" customHeight="1">
      <c r="A205" s="14" t="s">
        <v>1036</v>
      </c>
      <c r="B205" s="14" t="s">
        <v>3</v>
      </c>
      <c r="C205" s="761" t="s">
        <v>53</v>
      </c>
      <c r="D205" s="439">
        <v>41660</v>
      </c>
      <c r="E205" s="14">
        <v>1</v>
      </c>
      <c r="F205" s="768">
        <v>1.0999000000000001</v>
      </c>
      <c r="G205" s="502"/>
      <c r="H205" s="543">
        <v>41661</v>
      </c>
      <c r="I205" s="763">
        <v>1.0952999999999999</v>
      </c>
      <c r="J205" s="832">
        <f>SUM(I205-F205)*10000</f>
        <v>-46.000000000001592</v>
      </c>
      <c r="K205" s="426">
        <f t="shared" si="18"/>
        <v>9.1299187437231808</v>
      </c>
      <c r="L205" s="764">
        <f>SUM((I205-F205)/J205*K205)*E205</f>
        <v>9.1299187437231808E-4</v>
      </c>
      <c r="M205" s="761" t="s">
        <v>884</v>
      </c>
      <c r="N205" s="759">
        <v>1.0952999999999999</v>
      </c>
      <c r="O205" s="833">
        <f t="shared" si="20"/>
        <v>-383.4349148281575</v>
      </c>
      <c r="P205" s="361"/>
    </row>
    <row r="206" spans="1:16" ht="15" customHeight="1">
      <c r="A206" s="456" t="s">
        <v>1153</v>
      </c>
      <c r="B206" s="456" t="s">
        <v>3</v>
      </c>
      <c r="C206" s="786" t="s">
        <v>78</v>
      </c>
      <c r="D206" s="787">
        <v>41662</v>
      </c>
      <c r="E206" s="456">
        <v>1</v>
      </c>
      <c r="F206" s="834">
        <v>0.90769999999999995</v>
      </c>
      <c r="G206" s="789"/>
      <c r="H206" s="787">
        <v>41662</v>
      </c>
      <c r="I206" s="790">
        <v>0.89829999999999999</v>
      </c>
      <c r="J206" s="832">
        <f>SUM(F206-I206)*10000</f>
        <v>93.999999999999645</v>
      </c>
      <c r="K206" s="782">
        <f t="shared" si="18"/>
        <v>11.132138483802738</v>
      </c>
      <c r="L206" s="791">
        <f>SUM((F206-I206)/J206*K206)*E206</f>
        <v>1.1132138483802736E-3</v>
      </c>
      <c r="M206" s="786" t="s">
        <v>884</v>
      </c>
      <c r="N206" s="677">
        <v>0.89829999999999999</v>
      </c>
      <c r="O206" s="833">
        <f t="shared" si="20"/>
        <v>1164.8903678920778</v>
      </c>
      <c r="P206" s="276"/>
    </row>
    <row r="207" spans="1:16" ht="15" customHeight="1">
      <c r="A207" s="456" t="s">
        <v>1040</v>
      </c>
      <c r="B207" s="456" t="s">
        <v>3</v>
      </c>
      <c r="C207" s="786" t="s">
        <v>78</v>
      </c>
      <c r="D207" s="787">
        <v>41667</v>
      </c>
      <c r="E207" s="456">
        <v>1</v>
      </c>
      <c r="F207" s="834">
        <v>1.3647</v>
      </c>
      <c r="G207" s="789"/>
      <c r="H207" s="543">
        <v>41673</v>
      </c>
      <c r="I207" s="790">
        <v>1.3483000000000001</v>
      </c>
      <c r="J207" s="832">
        <f>SUM(F207-I207)*10000</f>
        <v>163.99999999999972</v>
      </c>
      <c r="K207" s="782">
        <f t="shared" si="18"/>
        <v>10</v>
      </c>
      <c r="L207" s="791">
        <f>SUM((F207-I207)/J207*K207)*E207</f>
        <v>1E-3</v>
      </c>
      <c r="M207" s="786" t="s">
        <v>884</v>
      </c>
      <c r="N207" s="677">
        <v>1</v>
      </c>
      <c r="O207" s="833">
        <f t="shared" si="20"/>
        <v>1639.9999999999973</v>
      </c>
      <c r="P207" s="276"/>
    </row>
    <row r="208" spans="1:16" ht="15" customHeight="1">
      <c r="A208" s="14" t="s">
        <v>1154</v>
      </c>
      <c r="B208" s="14" t="s">
        <v>3</v>
      </c>
      <c r="C208" s="761" t="s">
        <v>53</v>
      </c>
      <c r="D208" s="439">
        <v>41669</v>
      </c>
      <c r="E208" s="14">
        <v>1</v>
      </c>
      <c r="F208" s="768">
        <v>1.0676000000000001</v>
      </c>
      <c r="G208" s="502"/>
      <c r="H208" s="543">
        <v>41674</v>
      </c>
      <c r="I208" s="763">
        <v>1.0912999999999999</v>
      </c>
      <c r="J208" s="832">
        <f>SUM(I208-F208)*10000</f>
        <v>236.99999999999832</v>
      </c>
      <c r="K208" s="426">
        <f t="shared" si="18"/>
        <v>10</v>
      </c>
      <c r="L208" s="764">
        <f>SUM((I208-F208)/J208*K208)*E208</f>
        <v>1E-3</v>
      </c>
      <c r="M208" s="761" t="s">
        <v>884</v>
      </c>
      <c r="N208" s="759">
        <v>1</v>
      </c>
      <c r="O208" s="833">
        <f t="shared" si="20"/>
        <v>2369.9999999999832</v>
      </c>
      <c r="P208" s="361"/>
    </row>
    <row r="209" spans="1:16" ht="15" customHeight="1">
      <c r="A209" s="14" t="s">
        <v>1124</v>
      </c>
      <c r="B209" s="14" t="s">
        <v>3</v>
      </c>
      <c r="C209" s="761" t="s">
        <v>53</v>
      </c>
      <c r="D209" s="439">
        <v>41677</v>
      </c>
      <c r="E209" s="14">
        <v>1</v>
      </c>
      <c r="F209" s="768">
        <v>1.5202</v>
      </c>
      <c r="G209" s="502"/>
      <c r="H209" s="543">
        <v>41682</v>
      </c>
      <c r="I209" s="763">
        <v>1.5017</v>
      </c>
      <c r="J209" s="832">
        <f>SUM(I209-F209)*10000</f>
        <v>-184.9999999999996</v>
      </c>
      <c r="K209" s="426">
        <f>SUM(100000/N209)/10000</f>
        <v>10</v>
      </c>
      <c r="L209" s="764">
        <f>SUM((I209-F209)/J209*K209)*E209</f>
        <v>1E-3</v>
      </c>
      <c r="M209" s="761" t="s">
        <v>884</v>
      </c>
      <c r="N209" s="759">
        <v>1</v>
      </c>
      <c r="O209" s="833">
        <f>SUM(J209*K209)/N209</f>
        <v>-1849.9999999999959</v>
      </c>
      <c r="P209" s="361"/>
    </row>
    <row r="210" spans="1:16" ht="15" customHeight="1">
      <c r="A210" s="456" t="s">
        <v>1154</v>
      </c>
      <c r="B210" s="456" t="s">
        <v>3</v>
      </c>
      <c r="C210" s="786" t="s">
        <v>78</v>
      </c>
      <c r="D210" s="787">
        <v>41677</v>
      </c>
      <c r="E210" s="456">
        <v>1</v>
      </c>
      <c r="F210" s="834">
        <v>1.0808</v>
      </c>
      <c r="G210" s="789"/>
      <c r="H210" s="543">
        <v>41688</v>
      </c>
      <c r="I210" s="790">
        <v>1.0845</v>
      </c>
      <c r="J210" s="832">
        <f>SUM(F210-I210)*10000</f>
        <v>-37.000000000000369</v>
      </c>
      <c r="K210" s="782">
        <f>SUM(100000/N210)/10000</f>
        <v>10</v>
      </c>
      <c r="L210" s="791">
        <f>SUM((F210-I210)/J210*K210)*E210</f>
        <v>1E-3</v>
      </c>
      <c r="M210" s="786" t="s">
        <v>884</v>
      </c>
      <c r="N210" s="677">
        <v>1</v>
      </c>
      <c r="O210" s="833">
        <f>SUM(J210*K210)/N210</f>
        <v>-370.00000000000369</v>
      </c>
      <c r="P210" s="276"/>
    </row>
    <row r="211" spans="1:16" ht="15" customHeight="1">
      <c r="A211" s="14" t="s">
        <v>1281</v>
      </c>
      <c r="B211" s="14" t="s">
        <v>3</v>
      </c>
      <c r="C211" s="761" t="s">
        <v>53</v>
      </c>
      <c r="D211" s="439">
        <v>41689</v>
      </c>
      <c r="E211" s="14">
        <v>1</v>
      </c>
      <c r="F211" s="768">
        <v>140.29900000000001</v>
      </c>
      <c r="G211" s="502"/>
      <c r="H211" s="543">
        <v>41690</v>
      </c>
      <c r="I211" s="763">
        <v>139.501</v>
      </c>
      <c r="J211" s="832">
        <f>SUM(I211-F211)*100</f>
        <v>-79.800000000000182</v>
      </c>
      <c r="K211" s="426">
        <f>SUM(100000/N211)/10000</f>
        <v>10</v>
      </c>
      <c r="L211" s="764">
        <f>SUM((I211-F211)/J211*K211)*E211</f>
        <v>0.1</v>
      </c>
      <c r="M211" s="761" t="s">
        <v>884</v>
      </c>
      <c r="N211" s="759">
        <v>1</v>
      </c>
      <c r="O211" s="833">
        <f>SUM(J211*K211)/N211</f>
        <v>-798.00000000000182</v>
      </c>
      <c r="P211" s="361"/>
    </row>
    <row r="212" spans="1:16" ht="15" customHeight="1">
      <c r="A212" s="14" t="s">
        <v>1173</v>
      </c>
      <c r="B212" s="14" t="s">
        <v>3</v>
      </c>
      <c r="C212" s="761" t="s">
        <v>53</v>
      </c>
      <c r="D212" s="439">
        <v>41689</v>
      </c>
      <c r="E212" s="14">
        <v>1</v>
      </c>
      <c r="F212" s="768">
        <v>114.60299999999999</v>
      </c>
      <c r="G212" s="502"/>
      <c r="H212" s="543">
        <v>41695</v>
      </c>
      <c r="I212" s="763">
        <v>115.02</v>
      </c>
      <c r="J212" s="832">
        <f>SUM(I212-F212)*100</f>
        <v>41.700000000000159</v>
      </c>
      <c r="K212" s="426">
        <f>SUM(100000/N212)/10000</f>
        <v>10</v>
      </c>
      <c r="L212" s="764">
        <f>SUM((I212-F212)/J212*K212)*E212</f>
        <v>0.1</v>
      </c>
      <c r="M212" s="761" t="s">
        <v>884</v>
      </c>
      <c r="N212" s="759">
        <v>1</v>
      </c>
      <c r="O212" s="833">
        <f>SUM(J212*K212)/N212</f>
        <v>417.00000000000159</v>
      </c>
      <c r="P212" s="361"/>
    </row>
    <row r="213" spans="1:16" ht="15" customHeight="1">
      <c r="A213" s="14" t="s">
        <v>1035</v>
      </c>
      <c r="B213" s="14" t="s">
        <v>3</v>
      </c>
      <c r="C213" s="761" t="s">
        <v>53</v>
      </c>
      <c r="D213" s="439">
        <v>41689</v>
      </c>
      <c r="E213" s="14">
        <v>1</v>
      </c>
      <c r="F213" s="768">
        <v>0.82330000000000003</v>
      </c>
      <c r="G213" s="502"/>
      <c r="H213" s="543">
        <v>41695</v>
      </c>
      <c r="I213" s="763">
        <v>0.82369999999999999</v>
      </c>
      <c r="J213" s="832">
        <f t="shared" ref="J213" si="21">SUM(I213-F213)*10000</f>
        <v>3.9999999999995595</v>
      </c>
      <c r="K213" s="426">
        <f t="shared" ref="K213" si="22">SUM(100000/N213)/10000</f>
        <v>10</v>
      </c>
      <c r="L213" s="764">
        <f t="shared" ref="L213" si="23">SUM((I213-F213)/J213*K213)*E213</f>
        <v>1E-3</v>
      </c>
      <c r="M213" s="761" t="s">
        <v>884</v>
      </c>
      <c r="N213" s="759">
        <v>1</v>
      </c>
      <c r="O213" s="833">
        <f t="shared" ref="O213" si="24">SUM(J213*K213)/N213</f>
        <v>39.999999999995595</v>
      </c>
      <c r="P213" s="361"/>
    </row>
    <row r="214" spans="1:16" ht="15" customHeight="1">
      <c r="A214" s="456" t="s">
        <v>1152</v>
      </c>
      <c r="B214" s="456" t="s">
        <v>3</v>
      </c>
      <c r="C214" s="786" t="s">
        <v>78</v>
      </c>
      <c r="D214" s="787">
        <v>41689</v>
      </c>
      <c r="E214" s="456">
        <v>1</v>
      </c>
      <c r="F214" s="834">
        <v>1.6689000000000001</v>
      </c>
      <c r="G214" s="789"/>
      <c r="H214" s="543">
        <v>41695</v>
      </c>
      <c r="I214" s="790">
        <v>1.6679999999999999</v>
      </c>
      <c r="J214" s="832">
        <f>SUM(F214-I214)*10000</f>
        <v>9.0000000000012292</v>
      </c>
      <c r="K214" s="782">
        <f t="shared" ref="K214:K221" si="25">SUM(100000/N214)/10000</f>
        <v>10</v>
      </c>
      <c r="L214" s="791">
        <f>SUM((F214-I214)/J214*K214)*E214</f>
        <v>1E-3</v>
      </c>
      <c r="M214" s="786" t="s">
        <v>884</v>
      </c>
      <c r="N214" s="677">
        <v>1</v>
      </c>
      <c r="O214" s="833">
        <f t="shared" ref="O214:O221" si="26">SUM(J214*K214)/N214</f>
        <v>90.000000000012292</v>
      </c>
      <c r="P214" s="276"/>
    </row>
    <row r="215" spans="1:16" ht="15" customHeight="1">
      <c r="A215" s="456" t="s">
        <v>1148</v>
      </c>
      <c r="B215" s="456" t="s">
        <v>3</v>
      </c>
      <c r="C215" s="786" t="s">
        <v>78</v>
      </c>
      <c r="D215" s="787">
        <v>41694</v>
      </c>
      <c r="E215" s="456">
        <v>1</v>
      </c>
      <c r="F215" s="834">
        <v>0.99590000000000001</v>
      </c>
      <c r="G215" s="789"/>
      <c r="H215" s="543">
        <v>41701</v>
      </c>
      <c r="I215" s="790">
        <v>0.98270000000000002</v>
      </c>
      <c r="J215" s="832">
        <f>SUM(F215-I215)*10000</f>
        <v>131.99999999999989</v>
      </c>
      <c r="K215" s="782">
        <f t="shared" si="25"/>
        <v>9.0415913200723317</v>
      </c>
      <c r="L215" s="791">
        <f>SUM((F215-I215)/J215*K215)*E215</f>
        <v>9.0415913200723324E-4</v>
      </c>
      <c r="M215" s="786" t="s">
        <v>884</v>
      </c>
      <c r="N215" s="677">
        <v>1.1060000000000001</v>
      </c>
      <c r="O215" s="833">
        <f t="shared" si="26"/>
        <v>1079.1049315095358</v>
      </c>
      <c r="P215" s="276"/>
    </row>
    <row r="216" spans="1:16" ht="15" customHeight="1">
      <c r="A216" s="456" t="s">
        <v>1180</v>
      </c>
      <c r="B216" s="456" t="s">
        <v>3</v>
      </c>
      <c r="C216" s="786" t="s">
        <v>78</v>
      </c>
      <c r="D216" s="787">
        <v>41694</v>
      </c>
      <c r="E216" s="456">
        <v>1</v>
      </c>
      <c r="F216" s="834">
        <v>1.8449</v>
      </c>
      <c r="G216" s="789"/>
      <c r="H216" s="543">
        <v>41704</v>
      </c>
      <c r="I216" s="790">
        <v>1.8491</v>
      </c>
      <c r="J216" s="832">
        <f>SUM(F216-I216)*10000</f>
        <v>-41.999999999999815</v>
      </c>
      <c r="K216" s="782">
        <f t="shared" si="25"/>
        <v>9.0415913200723317</v>
      </c>
      <c r="L216" s="791">
        <f>SUM((F216-I216)/J216*K216)*E216</f>
        <v>9.0415913200723324E-4</v>
      </c>
      <c r="M216" s="786" t="s">
        <v>884</v>
      </c>
      <c r="N216" s="677">
        <v>1.1060000000000001</v>
      </c>
      <c r="O216" s="833">
        <f t="shared" si="26"/>
        <v>-343.35156911666928</v>
      </c>
      <c r="P216" s="276"/>
    </row>
    <row r="217" spans="1:16" ht="15" customHeight="1">
      <c r="A217" s="14" t="s">
        <v>1183</v>
      </c>
      <c r="B217" s="14" t="s">
        <v>3</v>
      </c>
      <c r="C217" s="761" t="s">
        <v>53</v>
      </c>
      <c r="D217" s="439">
        <v>41710</v>
      </c>
      <c r="E217" s="14">
        <v>1</v>
      </c>
      <c r="F217" s="768">
        <v>1.9654</v>
      </c>
      <c r="G217" s="502"/>
      <c r="H217" s="543">
        <v>41710</v>
      </c>
      <c r="I217" s="763">
        <v>1.9548000000000001</v>
      </c>
      <c r="J217" s="832">
        <f>SUM(I217-F217)*10000</f>
        <v>-105.99999999999943</v>
      </c>
      <c r="K217" s="426">
        <f t="shared" si="25"/>
        <v>8.4559445290038884</v>
      </c>
      <c r="L217" s="764">
        <f>SUM((I217-F217)/J217*K217)*E217</f>
        <v>8.4559445290038871E-4</v>
      </c>
      <c r="M217" s="761" t="s">
        <v>884</v>
      </c>
      <c r="N217" s="759">
        <v>1.1826000000000001</v>
      </c>
      <c r="O217" s="833">
        <f t="shared" si="26"/>
        <v>-757.93177750245832</v>
      </c>
      <c r="P217" s="361"/>
    </row>
    <row r="218" spans="1:16" ht="15" customHeight="1">
      <c r="A218" s="456" t="s">
        <v>1064</v>
      </c>
      <c r="B218" s="456" t="s">
        <v>3</v>
      </c>
      <c r="C218" s="786" t="s">
        <v>78</v>
      </c>
      <c r="D218" s="787">
        <v>41708</v>
      </c>
      <c r="E218" s="456">
        <v>1</v>
      </c>
      <c r="F218" s="834">
        <v>0.90539999999999998</v>
      </c>
      <c r="G218" s="789"/>
      <c r="H218" s="543">
        <v>41711</v>
      </c>
      <c r="I218" s="790">
        <v>0.90310000000000001</v>
      </c>
      <c r="J218" s="832">
        <f>SUM(F218-I218)*10000</f>
        <v>22.999999999999687</v>
      </c>
      <c r="K218" s="782">
        <f t="shared" si="25"/>
        <v>10</v>
      </c>
      <c r="L218" s="791">
        <f>SUM((F218-I218)/J218*K218)*E218</f>
        <v>1E-3</v>
      </c>
      <c r="M218" s="786" t="s">
        <v>884</v>
      </c>
      <c r="N218" s="677">
        <v>1</v>
      </c>
      <c r="O218" s="833">
        <f t="shared" si="26"/>
        <v>229.99999999999687</v>
      </c>
      <c r="P218" s="276"/>
    </row>
    <row r="219" spans="1:16" ht="15" customHeight="1">
      <c r="A219" s="14" t="s">
        <v>1604</v>
      </c>
      <c r="B219" s="14" t="s">
        <v>3</v>
      </c>
      <c r="C219" s="761" t="s">
        <v>53</v>
      </c>
      <c r="D219" s="439">
        <v>40544</v>
      </c>
      <c r="E219" s="14">
        <v>1</v>
      </c>
      <c r="F219" s="768">
        <v>1.6429</v>
      </c>
      <c r="G219" s="502"/>
      <c r="H219" s="543">
        <v>41711</v>
      </c>
      <c r="I219" s="763">
        <v>1.6289</v>
      </c>
      <c r="J219" s="832">
        <f>SUM(I219-F219)*10000</f>
        <v>-140.00000000000011</v>
      </c>
      <c r="K219" s="426">
        <f t="shared" si="25"/>
        <v>8.4559445290038884</v>
      </c>
      <c r="L219" s="764">
        <f>SUM((I219-F219)/J219*K219)*E219</f>
        <v>8.4559445290038893E-4</v>
      </c>
      <c r="M219" s="761" t="s">
        <v>884</v>
      </c>
      <c r="N219" s="759">
        <v>1.1826000000000001</v>
      </c>
      <c r="O219" s="833">
        <f t="shared" si="26"/>
        <v>-1001.0419702862719</v>
      </c>
      <c r="P219" s="361"/>
    </row>
    <row r="220" spans="1:16" ht="15" customHeight="1">
      <c r="A220" s="456" t="s">
        <v>1179</v>
      </c>
      <c r="B220" s="456" t="s">
        <v>3</v>
      </c>
      <c r="C220" s="786" t="s">
        <v>78</v>
      </c>
      <c r="D220" s="787">
        <v>41708</v>
      </c>
      <c r="E220" s="456">
        <v>1</v>
      </c>
      <c r="F220" s="834">
        <v>0.84379999999999999</v>
      </c>
      <c r="G220" s="789"/>
      <c r="H220" s="543">
        <v>41711</v>
      </c>
      <c r="I220" s="790">
        <v>0.8528</v>
      </c>
      <c r="J220" s="832">
        <f t="shared" ref="J220:J225" si="27">SUM(F220-I220)*10000</f>
        <v>-90.000000000000085</v>
      </c>
      <c r="K220" s="782">
        <f t="shared" si="25"/>
        <v>10</v>
      </c>
      <c r="L220" s="791">
        <f t="shared" ref="L220:L225" si="28">SUM((F220-I220)/J220*K220)*E220</f>
        <v>1E-3</v>
      </c>
      <c r="M220" s="786" t="s">
        <v>884</v>
      </c>
      <c r="N220" s="677">
        <v>1</v>
      </c>
      <c r="O220" s="833">
        <f t="shared" si="26"/>
        <v>-900.00000000000091</v>
      </c>
      <c r="P220" s="276"/>
    </row>
    <row r="221" spans="1:16" ht="15" customHeight="1">
      <c r="A221" s="456" t="s">
        <v>1162</v>
      </c>
      <c r="B221" s="456" t="s">
        <v>3</v>
      </c>
      <c r="C221" s="786" t="s">
        <v>78</v>
      </c>
      <c r="D221" s="787">
        <v>41708</v>
      </c>
      <c r="E221" s="456">
        <v>1</v>
      </c>
      <c r="F221" s="834">
        <v>93.438999999999993</v>
      </c>
      <c r="G221" s="789"/>
      <c r="H221" s="543">
        <v>41711</v>
      </c>
      <c r="I221" s="790">
        <v>92.974000000000004</v>
      </c>
      <c r="J221" s="832">
        <f t="shared" si="27"/>
        <v>4649.9999999998918</v>
      </c>
      <c r="K221" s="782">
        <f t="shared" si="25"/>
        <v>9.7124153805809965E-2</v>
      </c>
      <c r="L221" s="791">
        <f t="shared" si="28"/>
        <v>9.7124153805809967E-6</v>
      </c>
      <c r="M221" s="786" t="s">
        <v>884</v>
      </c>
      <c r="N221" s="677">
        <v>102.961</v>
      </c>
      <c r="O221" s="833">
        <f t="shared" si="26"/>
        <v>4.386392082409901</v>
      </c>
      <c r="P221" s="276"/>
    </row>
    <row r="222" spans="1:16" ht="15" customHeight="1">
      <c r="A222" s="456" t="s">
        <v>1064</v>
      </c>
      <c r="B222" s="456" t="s">
        <v>3</v>
      </c>
      <c r="C222" s="786" t="s">
        <v>78</v>
      </c>
      <c r="D222" s="787">
        <v>41718</v>
      </c>
      <c r="E222" s="456">
        <v>1</v>
      </c>
      <c r="F222" s="834">
        <v>0.90139999999999998</v>
      </c>
      <c r="G222" s="789"/>
      <c r="H222" s="543">
        <v>41722</v>
      </c>
      <c r="I222" s="790">
        <v>0.9143</v>
      </c>
      <c r="J222" s="832">
        <f t="shared" si="27"/>
        <v>-129.00000000000023</v>
      </c>
      <c r="K222" s="782">
        <f t="shared" ref="K222:K227" si="29">SUM(100000/N222)/10000</f>
        <v>10</v>
      </c>
      <c r="L222" s="791">
        <f t="shared" si="28"/>
        <v>1E-3</v>
      </c>
      <c r="M222" s="786" t="s">
        <v>884</v>
      </c>
      <c r="N222" s="677">
        <v>1</v>
      </c>
      <c r="O222" s="833">
        <f t="shared" ref="O222:O227" si="30">SUM(J222*K222)/N222</f>
        <v>-1290.0000000000023</v>
      </c>
      <c r="P222" s="276"/>
    </row>
    <row r="223" spans="1:16" ht="15" customHeight="1">
      <c r="A223" s="456" t="s">
        <v>1157</v>
      </c>
      <c r="B223" s="456" t="s">
        <v>3</v>
      </c>
      <c r="C223" s="786" t="s">
        <v>78</v>
      </c>
      <c r="D223" s="787">
        <v>41709</v>
      </c>
      <c r="E223" s="456">
        <v>1</v>
      </c>
      <c r="F223" s="834">
        <v>171.19300000000001</v>
      </c>
      <c r="G223" s="789"/>
      <c r="H223" s="543">
        <v>41725</v>
      </c>
      <c r="I223" s="790">
        <v>171.1</v>
      </c>
      <c r="J223" s="832">
        <f t="shared" si="27"/>
        <v>930.00000000017735</v>
      </c>
      <c r="K223" s="782">
        <f t="shared" si="29"/>
        <v>9.7124153805809965E-2</v>
      </c>
      <c r="L223" s="791">
        <f t="shared" si="28"/>
        <v>9.7124153805809967E-6</v>
      </c>
      <c r="M223" s="786" t="s">
        <v>884</v>
      </c>
      <c r="N223" s="677">
        <v>102.961</v>
      </c>
      <c r="O223" s="833">
        <f t="shared" si="30"/>
        <v>0.87727841648216798</v>
      </c>
      <c r="P223" s="276"/>
    </row>
    <row r="224" spans="1:16" ht="15" customHeight="1">
      <c r="A224" s="456" t="s">
        <v>1152</v>
      </c>
      <c r="B224" s="456" t="s">
        <v>3</v>
      </c>
      <c r="C224" s="786" t="s">
        <v>78</v>
      </c>
      <c r="D224" s="787">
        <v>41716</v>
      </c>
      <c r="E224" s="456">
        <v>1</v>
      </c>
      <c r="F224" s="834">
        <v>1.6561999999999999</v>
      </c>
      <c r="G224" s="789"/>
      <c r="H224" s="543">
        <v>41724</v>
      </c>
      <c r="I224" s="790">
        <v>1.6556</v>
      </c>
      <c r="J224" s="832">
        <f t="shared" si="27"/>
        <v>5.9999999999993392</v>
      </c>
      <c r="K224" s="782">
        <f t="shared" si="29"/>
        <v>10</v>
      </c>
      <c r="L224" s="791">
        <f t="shared" si="28"/>
        <v>1E-3</v>
      </c>
      <c r="M224" s="786" t="s">
        <v>884</v>
      </c>
      <c r="N224" s="677">
        <v>1</v>
      </c>
      <c r="O224" s="833">
        <f t="shared" si="30"/>
        <v>59.999999999993392</v>
      </c>
      <c r="P224" s="276"/>
    </row>
    <row r="225" spans="1:16" ht="15" customHeight="1">
      <c r="A225" s="456" t="s">
        <v>1040</v>
      </c>
      <c r="B225" s="456" t="s">
        <v>3</v>
      </c>
      <c r="C225" s="786" t="s">
        <v>78</v>
      </c>
      <c r="D225" s="787">
        <v>41717</v>
      </c>
      <c r="E225" s="456">
        <v>1</v>
      </c>
      <c r="F225" s="834">
        <v>1.3827</v>
      </c>
      <c r="G225" s="789"/>
      <c r="H225" s="543">
        <v>41726</v>
      </c>
      <c r="I225" s="790">
        <v>1.38</v>
      </c>
      <c r="J225" s="832">
        <f t="shared" si="27"/>
        <v>27.000000000001467</v>
      </c>
      <c r="K225" s="782">
        <f t="shared" si="29"/>
        <v>10</v>
      </c>
      <c r="L225" s="791">
        <f t="shared" si="28"/>
        <v>1E-3</v>
      </c>
      <c r="M225" s="786" t="s">
        <v>884</v>
      </c>
      <c r="N225" s="677">
        <v>1</v>
      </c>
      <c r="O225" s="833">
        <f t="shared" si="30"/>
        <v>270.00000000001467</v>
      </c>
      <c r="P225" s="276"/>
    </row>
    <row r="226" spans="1:16" ht="15" customHeight="1">
      <c r="A226" s="14" t="s">
        <v>1064</v>
      </c>
      <c r="B226" s="14" t="s">
        <v>3</v>
      </c>
      <c r="C226" s="761" t="s">
        <v>53</v>
      </c>
      <c r="D226" s="439">
        <v>41723</v>
      </c>
      <c r="E226" s="14">
        <v>1</v>
      </c>
      <c r="F226" s="768">
        <v>0.91669999999999996</v>
      </c>
      <c r="G226" s="502"/>
      <c r="H226" s="543">
        <v>41732</v>
      </c>
      <c r="I226" s="763">
        <v>0.92049999999999998</v>
      </c>
      <c r="J226" s="832">
        <f>SUM(I226-F226)*10000</f>
        <v>38.000000000000256</v>
      </c>
      <c r="K226" s="426">
        <f t="shared" si="29"/>
        <v>10</v>
      </c>
      <c r="L226" s="764">
        <f>SUM((I226-F226)/J226*K226)*E226</f>
        <v>1E-3</v>
      </c>
      <c r="M226" s="761" t="s">
        <v>884</v>
      </c>
      <c r="N226" s="759">
        <v>1</v>
      </c>
      <c r="O226" s="833">
        <f t="shared" si="30"/>
        <v>380.00000000000256</v>
      </c>
      <c r="P226" s="361"/>
    </row>
    <row r="227" spans="1:16" ht="15" customHeight="1">
      <c r="A227" s="456" t="s">
        <v>1148</v>
      </c>
      <c r="B227" s="456" t="s">
        <v>3</v>
      </c>
      <c r="C227" s="786" t="s">
        <v>78</v>
      </c>
      <c r="D227" s="787">
        <v>41725</v>
      </c>
      <c r="E227" s="456">
        <v>1</v>
      </c>
      <c r="F227" s="834">
        <v>1.0207999999999999</v>
      </c>
      <c r="G227" s="789"/>
      <c r="H227" s="543">
        <v>41737</v>
      </c>
      <c r="I227" s="790">
        <v>1.0229999999999999</v>
      </c>
      <c r="J227" s="832">
        <f>SUM(F227-I227)*10000</f>
        <v>-21.999999999999797</v>
      </c>
      <c r="K227" s="782">
        <f t="shared" si="29"/>
        <v>9.0497737556561084</v>
      </c>
      <c r="L227" s="791">
        <f>SUM((F227-I227)/J227*K227)*E227</f>
        <v>9.049773755656109E-4</v>
      </c>
      <c r="M227" s="786" t="s">
        <v>884</v>
      </c>
      <c r="N227" s="677">
        <v>1.105</v>
      </c>
      <c r="O227" s="833">
        <f t="shared" si="30"/>
        <v>-180.17649106283488</v>
      </c>
      <c r="P227" s="276"/>
    </row>
    <row r="228" spans="1:16" ht="15" customHeight="1">
      <c r="A228" s="456" t="s">
        <v>1162</v>
      </c>
      <c r="B228" s="456" t="s">
        <v>3</v>
      </c>
      <c r="C228" s="786" t="s">
        <v>78</v>
      </c>
      <c r="D228" s="787">
        <v>41736</v>
      </c>
      <c r="E228" s="456">
        <v>1</v>
      </c>
      <c r="F228" s="834">
        <v>95.364999999999995</v>
      </c>
      <c r="G228" s="789"/>
      <c r="H228" s="543">
        <v>41739</v>
      </c>
      <c r="I228" s="790">
        <v>96.02</v>
      </c>
      <c r="J228" s="832">
        <f>SUM(F228-I228)*1000</f>
        <v>-655.00000000000114</v>
      </c>
      <c r="K228" s="782">
        <f>SUM(100000/N228)/1000</f>
        <v>0.97009206173665885</v>
      </c>
      <c r="L228" s="791">
        <f>SUM((F228-I228)/J228*K228)*E228</f>
        <v>9.7009206173665884E-4</v>
      </c>
      <c r="M228" s="786" t="s">
        <v>884</v>
      </c>
      <c r="N228" s="677">
        <v>103.083</v>
      </c>
      <c r="O228" s="833">
        <f>SUM(J228*K228)/N228</f>
        <v>-6.1640648840013643</v>
      </c>
      <c r="P228" s="276"/>
    </row>
    <row r="229" spans="1:16" ht="15" customHeight="1">
      <c r="A229" s="14" t="s">
        <v>1155</v>
      </c>
      <c r="B229" s="14" t="s">
        <v>3</v>
      </c>
      <c r="C229" s="761" t="s">
        <v>53</v>
      </c>
      <c r="D229" s="439">
        <v>41723</v>
      </c>
      <c r="E229" s="14">
        <v>1</v>
      </c>
      <c r="F229" s="768">
        <v>0.79390000000000005</v>
      </c>
      <c r="G229" s="502"/>
      <c r="H229" s="543">
        <v>41743</v>
      </c>
      <c r="I229" s="763">
        <v>0.80279999999999996</v>
      </c>
      <c r="J229" s="832">
        <f>SUM(I229-F229)*10000</f>
        <v>88.999999999999076</v>
      </c>
      <c r="K229" s="426">
        <f>SUM(100000/N229)/10000</f>
        <v>11.22334455667789</v>
      </c>
      <c r="L229" s="764">
        <f>SUM((I229-F229)/J229*K229)*E229</f>
        <v>1.1223344556677891E-3</v>
      </c>
      <c r="M229" s="761" t="s">
        <v>884</v>
      </c>
      <c r="N229" s="759">
        <v>0.89100000000000001</v>
      </c>
      <c r="O229" s="833">
        <f>SUM(J229*K229)/N229</f>
        <v>1121.0748210373984</v>
      </c>
      <c r="P229" s="361"/>
    </row>
    <row r="230" spans="1:16" ht="15" customHeight="1">
      <c r="A230" s="14" t="s">
        <v>1149</v>
      </c>
      <c r="B230" s="14" t="s">
        <v>3</v>
      </c>
      <c r="C230" s="761" t="s">
        <v>53</v>
      </c>
      <c r="D230" s="439">
        <v>41745</v>
      </c>
      <c r="E230" s="14">
        <v>1</v>
      </c>
      <c r="F230" s="768">
        <v>1.2177</v>
      </c>
      <c r="G230" s="502"/>
      <c r="H230" s="543">
        <v>41751</v>
      </c>
      <c r="I230" s="763">
        <v>1.2191000000000001</v>
      </c>
      <c r="J230" s="832">
        <f>SUM(I230-F230)*10000</f>
        <v>14.000000000000679</v>
      </c>
      <c r="K230" s="426">
        <f>SUM(100000/N230)/10000</f>
        <v>11.346873936230569</v>
      </c>
      <c r="L230" s="764">
        <f>SUM((I230-F230)/J230*K230)*E230</f>
        <v>1.134687393623057E-3</v>
      </c>
      <c r="M230" s="761" t="s">
        <v>884</v>
      </c>
      <c r="N230" s="759">
        <v>0.88129999999999997</v>
      </c>
      <c r="O230" s="833">
        <f>SUM(J230*K230)/N230</f>
        <v>180.25216737460079</v>
      </c>
      <c r="P230" s="361"/>
    </row>
    <row r="231" spans="1:16" ht="15" customHeight="1">
      <c r="A231" s="14" t="s">
        <v>1153</v>
      </c>
      <c r="B231" s="14" t="s">
        <v>3</v>
      </c>
      <c r="C231" s="761" t="s">
        <v>53</v>
      </c>
      <c r="D231" s="439">
        <v>41746</v>
      </c>
      <c r="E231" s="14">
        <v>1</v>
      </c>
      <c r="F231" s="768">
        <v>0.88319999999999999</v>
      </c>
      <c r="G231" s="502"/>
      <c r="H231" s="543">
        <v>41751</v>
      </c>
      <c r="I231" s="763">
        <v>0.88180000000000003</v>
      </c>
      <c r="J231" s="832">
        <f>SUM(I231-F231)*10000</f>
        <v>-13.999999999999568</v>
      </c>
      <c r="K231" s="426">
        <f>SUM(100000/N231)/10000</f>
        <v>11.346873936230569</v>
      </c>
      <c r="L231" s="764">
        <f>SUM((I231-F231)/J231*K231)*E231</f>
        <v>1.134687393623057E-3</v>
      </c>
      <c r="M231" s="761" t="s">
        <v>884</v>
      </c>
      <c r="N231" s="759">
        <v>0.88129999999999997</v>
      </c>
      <c r="O231" s="833">
        <f>SUM(J231*K231)/N231</f>
        <v>-180.25216737458646</v>
      </c>
      <c r="P231" s="361"/>
    </row>
    <row r="232" spans="1:16" ht="15" customHeight="1">
      <c r="A232" s="14" t="s">
        <v>1035</v>
      </c>
      <c r="B232" s="14" t="s">
        <v>3</v>
      </c>
      <c r="C232" s="761" t="s">
        <v>53</v>
      </c>
      <c r="D232" s="439">
        <v>41758</v>
      </c>
      <c r="E232" s="14">
        <v>1</v>
      </c>
      <c r="F232" s="768">
        <v>0.82579999999999998</v>
      </c>
      <c r="G232" s="502"/>
      <c r="H232" s="543">
        <v>41759</v>
      </c>
      <c r="I232" s="763">
        <v>0.81969999999999998</v>
      </c>
      <c r="J232" s="832">
        <f>SUM(I232-F232)*10000</f>
        <v>-60.999999999999943</v>
      </c>
      <c r="K232" s="426">
        <f>SUM(100000/N232)/10000</f>
        <v>16.906170752324599</v>
      </c>
      <c r="L232" s="764">
        <f>SUM((I232-F232)/J232*K232)*E232</f>
        <v>1.69061707523246E-3</v>
      </c>
      <c r="M232" s="761" t="s">
        <v>884</v>
      </c>
      <c r="N232" s="759">
        <v>0.59150000000000003</v>
      </c>
      <c r="O232" s="833">
        <f>SUM(J232*K232)/N232</f>
        <v>-1743.4935179912081</v>
      </c>
      <c r="P232" s="361"/>
    </row>
    <row r="233" spans="1:16" ht="15" customHeight="1">
      <c r="A233" s="14" t="s">
        <v>1151</v>
      </c>
      <c r="B233" s="14" t="s">
        <v>3</v>
      </c>
      <c r="C233" s="761" t="s">
        <v>53</v>
      </c>
      <c r="D233" s="439">
        <v>41758</v>
      </c>
      <c r="E233" s="14">
        <v>1</v>
      </c>
      <c r="F233" s="768">
        <v>1.8211999999999999</v>
      </c>
      <c r="G233" s="502"/>
      <c r="H233" s="543">
        <v>41765</v>
      </c>
      <c r="I233" s="763">
        <v>1.8157000000000001</v>
      </c>
      <c r="J233" s="832">
        <f t="shared" ref="J233" si="31">SUM(I233-F233)*10000</f>
        <v>-54.99999999999838</v>
      </c>
      <c r="K233" s="426">
        <f t="shared" ref="K233" si="32">SUM(100000/N233)/10000</f>
        <v>10.792143319663285</v>
      </c>
      <c r="L233" s="764">
        <f t="shared" ref="L233" si="33">SUM((I233-F233)/J233*K233)*E233</f>
        <v>1.0792143319663286E-3</v>
      </c>
      <c r="M233" s="761" t="s">
        <v>884</v>
      </c>
      <c r="N233" s="759">
        <v>0.92659999999999998</v>
      </c>
      <c r="O233" s="833">
        <f t="shared" ref="O233" si="34">SUM(J233*K233)/N233</f>
        <v>-640.58696587682198</v>
      </c>
      <c r="P233" s="361"/>
    </row>
    <row r="234" spans="1:16" ht="15" customHeight="1">
      <c r="A234" s="14" t="s">
        <v>1604</v>
      </c>
      <c r="B234" s="14" t="s">
        <v>3</v>
      </c>
      <c r="C234" s="761" t="s">
        <v>53</v>
      </c>
      <c r="D234" s="439">
        <v>41766</v>
      </c>
      <c r="E234" s="14">
        <v>1</v>
      </c>
      <c r="F234" s="768">
        <v>1.6077999999999999</v>
      </c>
      <c r="G234" s="502"/>
      <c r="H234" s="543">
        <v>41772</v>
      </c>
      <c r="I234" s="763">
        <v>1.5880000000000001</v>
      </c>
      <c r="J234" s="832">
        <f>SUM(I234-F234)*10000</f>
        <v>-197.99999999999818</v>
      </c>
      <c r="K234" s="426">
        <f>SUM(100000/N234)/10000</f>
        <v>10</v>
      </c>
      <c r="L234" s="764">
        <f>SUM((I234-F234)/J234*K234)*E234</f>
        <v>1E-3</v>
      </c>
      <c r="M234" s="761" t="s">
        <v>884</v>
      </c>
      <c r="N234" s="759">
        <v>1</v>
      </c>
      <c r="O234" s="833">
        <f>SUM(J234*K234)/N234</f>
        <v>-1979.9999999999818</v>
      </c>
      <c r="P234" s="361"/>
    </row>
    <row r="235" spans="1:16" ht="15" customHeight="1">
      <c r="A235" s="456" t="s">
        <v>1152</v>
      </c>
      <c r="B235" s="456" t="s">
        <v>3</v>
      </c>
      <c r="C235" s="786" t="s">
        <v>78</v>
      </c>
      <c r="D235" s="787">
        <v>41773</v>
      </c>
      <c r="E235" s="456">
        <v>1</v>
      </c>
      <c r="F235" s="834">
        <v>1.6787000000000001</v>
      </c>
      <c r="G235" s="789"/>
      <c r="H235" s="543">
        <v>41779</v>
      </c>
      <c r="I235" s="790">
        <v>1.6839</v>
      </c>
      <c r="J235" s="832">
        <f>SUM(F235-I235)*10000</f>
        <v>-51.999999999998714</v>
      </c>
      <c r="K235" s="782">
        <f>SUM(100000/N235)/10000</f>
        <v>10</v>
      </c>
      <c r="L235" s="791">
        <f>SUM((F235-I235)/J235*K235)*E235</f>
        <v>1E-3</v>
      </c>
      <c r="M235" s="786" t="s">
        <v>884</v>
      </c>
      <c r="N235" s="677">
        <v>1</v>
      </c>
      <c r="O235" s="833">
        <f>SUM(J235*K235)/N235</f>
        <v>-519.99999999998715</v>
      </c>
      <c r="P235" s="276"/>
    </row>
    <row r="236" spans="1:16" ht="15" customHeight="1">
      <c r="A236" s="456" t="s">
        <v>1148</v>
      </c>
      <c r="B236" s="456" t="s">
        <v>3</v>
      </c>
      <c r="C236" s="786" t="s">
        <v>78</v>
      </c>
      <c r="D236" s="787">
        <v>41779</v>
      </c>
      <c r="E236" s="456">
        <v>1</v>
      </c>
      <c r="F236" s="834">
        <v>1.0122</v>
      </c>
      <c r="G236" s="789"/>
      <c r="H236" s="543">
        <v>41782</v>
      </c>
      <c r="I236" s="790">
        <v>1.0025999999999999</v>
      </c>
      <c r="J236" s="832">
        <f>SUM(F236-I236)*10000</f>
        <v>96.000000000000526</v>
      </c>
      <c r="K236" s="782">
        <f>SUM(100000/N236)/10000</f>
        <v>10</v>
      </c>
      <c r="L236" s="791">
        <f>SUM((F236-I236)/J236*K236)*E236</f>
        <v>1E-3</v>
      </c>
      <c r="M236" s="786" t="s">
        <v>884</v>
      </c>
      <c r="N236" s="677">
        <v>1</v>
      </c>
      <c r="O236" s="833">
        <f>SUM(J236*K236)/N236</f>
        <v>960.00000000000523</v>
      </c>
      <c r="P236" s="276"/>
    </row>
    <row r="237" spans="1:16" ht="15" customHeight="1">
      <c r="A237" s="456"/>
      <c r="B237" s="456"/>
      <c r="C237" s="786"/>
      <c r="D237" s="787"/>
      <c r="E237" s="456"/>
      <c r="F237" s="834"/>
      <c r="G237" s="789"/>
      <c r="H237" s="831"/>
      <c r="I237" s="790"/>
      <c r="J237" s="832"/>
      <c r="K237" s="782"/>
      <c r="L237" s="791"/>
      <c r="M237" s="786"/>
      <c r="N237" s="677"/>
      <c r="O237" s="833"/>
      <c r="P237" s="276"/>
    </row>
    <row r="239" spans="1:16" ht="16.5" thickBot="1">
      <c r="A239" s="39" t="s">
        <v>1283</v>
      </c>
      <c r="B239" s="39"/>
      <c r="C239" s="75"/>
      <c r="D239" s="39"/>
      <c r="E239" s="39"/>
      <c r="F239" s="252"/>
      <c r="G239" s="41"/>
      <c r="H239" s="386"/>
      <c r="I239" s="252"/>
      <c r="J239" s="98"/>
      <c r="K239" s="40"/>
      <c r="L239" s="111"/>
      <c r="M239" s="75"/>
      <c r="N239" s="172"/>
      <c r="O239" s="236">
        <f>SUM(O30:O238)</f>
        <v>-27169.626425211172</v>
      </c>
      <c r="P239" s="41"/>
    </row>
    <row r="240" spans="1:16" ht="16.5" thickTop="1"/>
  </sheetData>
  <sortState ref="A14:P16">
    <sortCondition ref="A14:A16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2014-05-31T02:51:51Z</cp:lastPrinted>
  <dcterms:created xsi:type="dcterms:W3CDTF">2010-12-04T03:53:07Z</dcterms:created>
  <dcterms:modified xsi:type="dcterms:W3CDTF">2014-07-12T01:57:26Z</dcterms:modified>
</cp:coreProperties>
</file>